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-120" yWindow="-120" windowWidth="15600" windowHeight="11760" firstSheet="2" activeTab="5"/>
  </bookViews>
  <sheets>
    <sheet name="الرئيسي " sheetId="9" r:id="rId1"/>
    <sheet name="الايرادات مقابل المصروفات" sheetId="10" r:id="rId2"/>
    <sheet name="ارصدة البنوك" sheetId="8" r:id="rId3"/>
    <sheet name="المصروفات التشغيلية" sheetId="5" r:id="rId4"/>
    <sheet name="مصروفات الاسر" sheetId="6" r:id="rId5"/>
    <sheet name="الايرادات التبرعات" sheetId="7" r:id="rId6"/>
  </sheets>
  <definedNames>
    <definedName name="_xlnm._FilterDatabase" localSheetId="2" hidden="1">'ارصدة البنوك'!#REF!</definedName>
    <definedName name="_xlnm._FilterDatabase" localSheetId="5" hidden="1">'الايرادات التبرعات'!#REF!</definedName>
    <definedName name="_xlnm._FilterDatabase" localSheetId="1" hidden="1">'الايرادات مقابل المصروفات'!#REF!</definedName>
    <definedName name="_xlnm._FilterDatabase" localSheetId="0" hidden="1">'الرئيسي '!#REF!</definedName>
    <definedName name="_xlnm._FilterDatabase" localSheetId="3" hidden="1">'المصروفات التشغيلية'!#REF!</definedName>
    <definedName name="_xlnm._FilterDatabase" localSheetId="4" hidden="1">'مصروفات الاسر'!#REF!</definedName>
    <definedName name="BUDGET_Title" localSheetId="1">#REF!</definedName>
    <definedName name="BUDGET_Title" localSheetId="0">#REF!</definedName>
    <definedName name="BUDGET_Title">#REF!</definedName>
    <definedName name="ColumnTitle1" localSheetId="2">#REF!</definedName>
    <definedName name="ColumnTitle1" localSheetId="5">#REF!</definedName>
    <definedName name="ColumnTitle1" localSheetId="1">#REF!</definedName>
    <definedName name="ColumnTitle1" localSheetId="0">#REF!</definedName>
    <definedName name="ColumnTitle1" localSheetId="4">#REF!</definedName>
    <definedName name="ColumnTitle1">#REF!</definedName>
    <definedName name="_xlnm.Print_Area" localSheetId="2">'ارصدة البنوك'!$A$1:$F$46</definedName>
    <definedName name="_xlnm.Print_Area" localSheetId="5">'الايرادات التبرعات'!$A$1:$E$60</definedName>
    <definedName name="_xlnm.Print_Area" localSheetId="1">'الايرادات مقابل المصروفات'!$A$1:$G$9</definedName>
    <definedName name="_xlnm.Print_Area" localSheetId="0">'الرئيسي '!$A$1:$E$9</definedName>
    <definedName name="_xlnm.Print_Area" localSheetId="4">'مصروفات الاسر'!$A$1:$E$38</definedName>
    <definedName name="_xlnm.Print_Titles" localSheetId="2">'ارصدة البنوك'!$4:$4</definedName>
    <definedName name="_xlnm.Print_Titles" localSheetId="5">'الايرادات التبرعات'!$4:$4</definedName>
    <definedName name="_xlnm.Print_Titles" localSheetId="1">'الايرادات مقابل المصروفات'!$4:$4</definedName>
    <definedName name="_xlnm.Print_Titles" localSheetId="0">'الرئيسي '!$4:$4</definedName>
    <definedName name="_xlnm.Print_Titles" localSheetId="3">'المصروفات التشغيلية'!$4:$4</definedName>
    <definedName name="_xlnm.Print_Titles" localSheetId="4">'مصروفات الاسر'!$4:$4</definedName>
    <definedName name="اسم_الشركة" localSheetId="1">#REF!</definedName>
    <definedName name="اسم_الشركة" localSheetId="0">#REF!</definedName>
    <definedName name="اسم_الشركة">#REF!</definedName>
    <definedName name="الرئيسي" localSheetId="1">#REF!</definedName>
    <definedName name="الرئيسي">'المصروفات التشغيلية'!$B$4</definedName>
    <definedName name="العنوان_1" localSheetId="2">#REF!</definedName>
    <definedName name="العنوان_1" localSheetId="5">#REF!</definedName>
    <definedName name="العنوان_1" localSheetId="1">#REF!</definedName>
    <definedName name="العنوان_1" localSheetId="0">#REF!</definedName>
    <definedName name="العنوان_1" localSheetId="4">#REF!</definedName>
    <definedName name="العنوان_1">#REF!</definedName>
    <definedName name="العنوان_2" localSheetId="2">#REF!</definedName>
    <definedName name="العنوان_2" localSheetId="5">#REF!</definedName>
    <definedName name="العنوان_2" localSheetId="1">#REF!</definedName>
    <definedName name="العنوان_2" localSheetId="0">#REF!</definedName>
    <definedName name="العنوان_2" localSheetId="4">#REF!</definedName>
    <definedName name="العنوان_2">#REF!</definedName>
    <definedName name="العنوان_3" localSheetId="1">#REF!</definedName>
    <definedName name="العنوان_3" localSheetId="0">#REF!</definedName>
    <definedName name="العنوان_3">#REF!</definedName>
    <definedName name="العنوان_4" localSheetId="2">'ارصدة البنوك'!$B$4</definedName>
    <definedName name="العنوان_4" localSheetId="5">'الايرادات التبرعات'!$B$4</definedName>
    <definedName name="العنوان_4" localSheetId="1">'الايرادات مقابل المصروفات'!$B$4</definedName>
    <definedName name="العنوان_4" localSheetId="0">'الرئيسي '!$B$4</definedName>
    <definedName name="العنوان_4" localSheetId="4">'مصروفات الاسر'!$B$4</definedName>
    <definedName name="العنوان_4">'المصروفات التشغيلية'!$B$4</definedName>
    <definedName name="تاتتالال" localSheetId="1">#REF!</definedName>
    <definedName name="تاتتالال" localSheetId="0">'المصروفات التشغيلية'!$B$4</definedName>
    <definedName name="تاتتالال">'المصروفات التشغيلية'!$B$4</definedName>
    <definedName name="رئيسي" localSheetId="1">#REF!</definedName>
    <definedName name="رئيسي">#REF!</definedName>
  </definedNames>
  <calcPr calcId="114210" fullCalcOnLoad="1"/>
  <fileRecoveryPr autoRecover="0"/>
</workbook>
</file>

<file path=xl/calcChain.xml><?xml version="1.0" encoding="utf-8"?>
<calcChain xmlns="http://schemas.openxmlformats.org/spreadsheetml/2006/main">
  <c r="D22" i="7"/>
  <c r="D5" i="5"/>
  <c r="D56" i="7"/>
  <c r="D6" i="10"/>
  <c r="D5"/>
  <c r="C38" i="6"/>
  <c r="D37"/>
  <c r="D27" i="8"/>
  <c r="D46"/>
  <c r="D22"/>
  <c r="E45"/>
  <c r="D41"/>
  <c r="E41"/>
  <c r="D44"/>
  <c r="E44"/>
  <c r="D38"/>
  <c r="E38"/>
  <c r="D34"/>
  <c r="E34"/>
  <c r="E27"/>
  <c r="E22"/>
  <c r="C36" i="6"/>
  <c r="D36"/>
  <c r="C32"/>
  <c r="D32"/>
  <c r="C20"/>
  <c r="D20"/>
  <c r="C58" i="7"/>
  <c r="D58"/>
  <c r="C35"/>
  <c r="D35"/>
  <c r="C24"/>
  <c r="D24"/>
  <c r="D59"/>
  <c r="C6" i="10"/>
  <c r="C5"/>
  <c r="C7"/>
  <c r="C60" i="7"/>
  <c r="D9" i="10"/>
  <c r="F6"/>
  <c r="F5"/>
  <c r="C9"/>
  <c r="D5" i="9"/>
  <c r="D7"/>
  <c r="C7"/>
  <c r="C25" i="5"/>
  <c r="C47"/>
  <c r="E47"/>
  <c r="F47"/>
  <c r="D46"/>
  <c r="E46"/>
  <c r="F46"/>
  <c r="C29"/>
  <c r="C45"/>
  <c r="E45"/>
  <c r="F45"/>
  <c r="C36"/>
  <c r="E36"/>
  <c r="F36"/>
  <c r="C17"/>
  <c r="E17"/>
  <c r="F17"/>
  <c r="C16"/>
  <c r="E16"/>
  <c r="F16"/>
  <c r="C15"/>
  <c r="C33"/>
  <c r="D33"/>
  <c r="D12"/>
  <c r="C12"/>
  <c r="D9"/>
  <c r="C9"/>
  <c r="C5"/>
  <c r="D18"/>
  <c r="C32"/>
  <c r="D31"/>
  <c r="C31"/>
  <c r="C30"/>
  <c r="C22"/>
  <c r="C21"/>
  <c r="D21"/>
  <c r="D19"/>
  <c r="D20"/>
  <c r="C20"/>
  <c r="C24"/>
  <c r="E24"/>
  <c r="F24"/>
  <c r="C26"/>
  <c r="D23"/>
  <c r="C23"/>
  <c r="C27"/>
  <c r="C43"/>
  <c r="D26"/>
  <c r="D39"/>
  <c r="D44"/>
  <c r="E44"/>
  <c r="F44"/>
  <c r="D37"/>
  <c r="C37"/>
  <c r="D28"/>
  <c r="C28"/>
  <c r="D13"/>
  <c r="D14"/>
  <c r="C14"/>
  <c r="E43"/>
  <c r="F43"/>
  <c r="C35"/>
  <c r="C34"/>
  <c r="E34"/>
  <c r="F34"/>
  <c r="D41"/>
  <c r="E41"/>
  <c r="F41"/>
  <c r="D40"/>
  <c r="D38"/>
  <c r="C38"/>
  <c r="D42"/>
  <c r="C11"/>
  <c r="D10"/>
  <c r="C10"/>
  <c r="D8"/>
  <c r="C8"/>
  <c r="D7"/>
  <c r="C7"/>
  <c r="D6"/>
  <c r="C6"/>
  <c r="D27" i="6"/>
  <c r="D28"/>
  <c r="D29"/>
  <c r="D30"/>
  <c r="D31"/>
  <c r="D18"/>
  <c r="D16"/>
  <c r="D17"/>
  <c r="D12"/>
  <c r="D9"/>
  <c r="D53" i="7"/>
  <c r="D54"/>
  <c r="D55"/>
  <c r="D51"/>
  <c r="D52"/>
  <c r="D50"/>
  <c r="D48"/>
  <c r="D46"/>
  <c r="D42"/>
  <c r="D41"/>
  <c r="D40"/>
  <c r="D21"/>
  <c r="D23"/>
  <c r="D16"/>
  <c r="D15"/>
  <c r="D10"/>
  <c r="D9"/>
  <c r="E21" i="5"/>
  <c r="E27"/>
  <c r="F27"/>
  <c r="D48"/>
  <c r="C48"/>
  <c r="E42"/>
  <c r="E40"/>
  <c r="E39"/>
  <c r="E38"/>
  <c r="E37"/>
  <c r="E35"/>
  <c r="E33"/>
  <c r="E32"/>
  <c r="E31"/>
  <c r="E30"/>
  <c r="E29"/>
  <c r="E28"/>
  <c r="E26"/>
  <c r="E25"/>
  <c r="E23"/>
  <c r="E22"/>
  <c r="E20"/>
  <c r="E19"/>
  <c r="E18"/>
  <c r="E15"/>
  <c r="E14"/>
  <c r="E13"/>
  <c r="E12"/>
  <c r="E11"/>
  <c r="E10"/>
  <c r="E9"/>
  <c r="E8"/>
  <c r="E7"/>
  <c r="E6"/>
  <c r="E5"/>
  <c r="E48"/>
  <c r="E7" i="10"/>
  <c r="F7"/>
  <c r="F9"/>
  <c r="E9"/>
  <c r="F40" i="5"/>
  <c r="F42"/>
  <c r="F35"/>
  <c r="F37"/>
  <c r="F38"/>
  <c r="F23"/>
  <c r="F25"/>
  <c r="F19"/>
  <c r="F21"/>
  <c r="D25" i="6"/>
  <c r="D26"/>
  <c r="D24"/>
  <c r="D15"/>
  <c r="D19"/>
  <c r="D13"/>
  <c r="D14"/>
  <c r="D47" i="7"/>
  <c r="D49"/>
  <c r="D57"/>
  <c r="D18"/>
  <c r="D17"/>
  <c r="D14"/>
  <c r="D7"/>
  <c r="D8"/>
  <c r="D11"/>
  <c r="D29"/>
  <c r="D28"/>
  <c r="D31"/>
  <c r="D44"/>
  <c r="D45"/>
  <c r="D37"/>
  <c r="D36"/>
  <c r="D38"/>
  <c r="D39"/>
  <c r="D43"/>
  <c r="D34"/>
  <c r="F14" i="5"/>
  <c r="F12"/>
  <c r="D6" i="9"/>
  <c r="C6"/>
  <c r="D20" i="7"/>
  <c r="D10" i="6"/>
  <c r="D11"/>
  <c r="F30" i="5"/>
  <c r="F33"/>
  <c r="F39"/>
  <c r="F31"/>
  <c r="F32"/>
  <c r="D12" i="7"/>
  <c r="D13"/>
  <c r="D9" i="9"/>
  <c r="E43" i="8"/>
  <c r="E42"/>
  <c r="E40"/>
  <c r="E39"/>
  <c r="E37"/>
  <c r="E36"/>
  <c r="E35"/>
  <c r="E33"/>
  <c r="E32"/>
  <c r="E31"/>
  <c r="E30"/>
  <c r="E29"/>
  <c r="E28"/>
  <c r="E26"/>
  <c r="E25"/>
  <c r="E24"/>
  <c r="E23"/>
  <c r="E21"/>
  <c r="E20"/>
  <c r="E19"/>
  <c r="E18"/>
  <c r="E17"/>
  <c r="E16"/>
  <c r="E15"/>
  <c r="E14"/>
  <c r="E13"/>
  <c r="E12"/>
  <c r="E11"/>
  <c r="E10"/>
  <c r="E9"/>
  <c r="E8"/>
  <c r="E7"/>
  <c r="E6"/>
  <c r="E5"/>
  <c r="D33" i="7"/>
  <c r="D32"/>
  <c r="D30"/>
  <c r="D27"/>
  <c r="D26"/>
  <c r="D25"/>
  <c r="D19"/>
  <c r="D6"/>
  <c r="D5"/>
  <c r="D33" i="6"/>
  <c r="D34"/>
  <c r="D35"/>
  <c r="D23"/>
  <c r="D22"/>
  <c r="D21"/>
  <c r="D8"/>
  <c r="D7"/>
  <c r="D6"/>
  <c r="D5"/>
  <c r="D8" i="9"/>
  <c r="C8"/>
  <c r="F22" i="5"/>
  <c r="F15"/>
  <c r="F20"/>
  <c r="F18"/>
  <c r="F11"/>
  <c r="F8"/>
  <c r="F28"/>
  <c r="F29"/>
  <c r="F13"/>
  <c r="F9"/>
  <c r="F5"/>
  <c r="F7"/>
  <c r="F26"/>
  <c r="F10"/>
  <c r="F6"/>
</calcChain>
</file>

<file path=xl/sharedStrings.xml><?xml version="1.0" encoding="utf-8"?>
<sst xmlns="http://schemas.openxmlformats.org/spreadsheetml/2006/main" count="216" uniqueCount="190">
  <si>
    <t>المبلغ</t>
  </si>
  <si>
    <t>الفعلي</t>
  </si>
  <si>
    <t>أعلى 5 مبالغ</t>
  </si>
  <si>
    <t>المصروفات التشغيلية</t>
  </si>
  <si>
    <t>إجمالي المصروفات التشغيلية</t>
  </si>
  <si>
    <t>مصروفات الاسر</t>
  </si>
  <si>
    <t xml:space="preserve">مصروفات الاسر </t>
  </si>
  <si>
    <t>مصروفات مقيدة نقدية</t>
  </si>
  <si>
    <t>اجمالي مصروفات الاسر</t>
  </si>
  <si>
    <t>مصروفات مقيدة عينية</t>
  </si>
  <si>
    <t>مصروفات غير مقيدة عينية</t>
  </si>
  <si>
    <t>الايرادات</t>
  </si>
  <si>
    <t>ايرادات مقيدة نقدية</t>
  </si>
  <si>
    <t>ايرادات مقيدة عينية</t>
  </si>
  <si>
    <t>ايرادات غير مقيدة نقدية</t>
  </si>
  <si>
    <t>ارصدة البنوك</t>
  </si>
  <si>
    <t>مصرف الراجحي</t>
  </si>
  <si>
    <t>اجمالي الايرادات</t>
  </si>
  <si>
    <t xml:space="preserve">الاجمالي </t>
  </si>
  <si>
    <t>اسم الحساب</t>
  </si>
  <si>
    <t>رقم الحساب</t>
  </si>
  <si>
    <t>مصرف الانماء</t>
  </si>
  <si>
    <t>بنك الرياض</t>
  </si>
  <si>
    <t>البنك الاهلي</t>
  </si>
  <si>
    <t>بنك سامبا</t>
  </si>
  <si>
    <t>البنك العربي</t>
  </si>
  <si>
    <t>حساب مجمد</t>
  </si>
  <si>
    <t>الزكاة برزان</t>
  </si>
  <si>
    <t>كفالة اليتيم</t>
  </si>
  <si>
    <t>التبرعات العامة</t>
  </si>
  <si>
    <t>كفارة اليمين</t>
  </si>
  <si>
    <t>المتجر</t>
  </si>
  <si>
    <t>الزكاة</t>
  </si>
  <si>
    <t>زكاة الفطر</t>
  </si>
  <si>
    <t>اقراض الزواج</t>
  </si>
  <si>
    <t>المستودع</t>
  </si>
  <si>
    <t>إفطار الصائم</t>
  </si>
  <si>
    <t>ايادينا</t>
  </si>
  <si>
    <t>الاستثمار</t>
  </si>
  <si>
    <t>الحساب العام</t>
  </si>
  <si>
    <t>تبرعات</t>
  </si>
  <si>
    <t>زكاة</t>
  </si>
  <si>
    <t>تبرعات نقدية للحالات الطارئة في المتجر</t>
  </si>
  <si>
    <t>دعم الوزارة</t>
  </si>
  <si>
    <t>تبرع نقدي عام</t>
  </si>
  <si>
    <t>مبيعات الورق التالف</t>
  </si>
  <si>
    <t>مبيعات المواد التالفة مزادات</t>
  </si>
  <si>
    <t>مبيعات المتجر الخيري</t>
  </si>
  <si>
    <t>إيرادات التبرعات</t>
  </si>
  <si>
    <t>الصالة رقم 2</t>
  </si>
  <si>
    <t>مطعم المأكولات البحرية</t>
  </si>
  <si>
    <t>الروضة</t>
  </si>
  <si>
    <t>راتب الأساس</t>
  </si>
  <si>
    <t>بدل السكن</t>
  </si>
  <si>
    <t>بدل النقل</t>
  </si>
  <si>
    <t>غلاء المعيشة</t>
  </si>
  <si>
    <t>خارج الدوام</t>
  </si>
  <si>
    <t>التامينات الاجتماعية</t>
  </si>
  <si>
    <t>تذاكر السفر</t>
  </si>
  <si>
    <t>مكافأة نهاية الخدمة</t>
  </si>
  <si>
    <t>الضيافة</t>
  </si>
  <si>
    <t>رواتب حراس الامن</t>
  </si>
  <si>
    <t>تأهيل وتدريب الموظفين</t>
  </si>
  <si>
    <t>دعاية وإعلان</t>
  </si>
  <si>
    <t>الادراة</t>
  </si>
  <si>
    <t>المستودع والمتجر</t>
  </si>
  <si>
    <t>المجموع</t>
  </si>
  <si>
    <t>سداد الديون من مؤسسة المحيسن الخيرية</t>
  </si>
  <si>
    <t>سلال الحالات الطارئة دعم مؤسسة الحمدان</t>
  </si>
  <si>
    <t>حليب وحفائض اطفال الحالات الطارئة دعم مؤسسة الحمدان</t>
  </si>
  <si>
    <t>فواتير كهرباء الحالات الطارئة دعم مؤسسة الحمدان</t>
  </si>
  <si>
    <t>مساعدات عينية عامة من المستودع</t>
  </si>
  <si>
    <t>مساعدات عينية عامة من المتجر</t>
  </si>
  <si>
    <t>دعم للمستودع الخيري</t>
  </si>
  <si>
    <t>التأمين الطبي</t>
  </si>
  <si>
    <t>مكافات</t>
  </si>
  <si>
    <t>أدوات مكتبية</t>
  </si>
  <si>
    <t>استشارات قانونية</t>
  </si>
  <si>
    <t>مشتريات لتشغيل المتجر</t>
  </si>
  <si>
    <t>القيمة</t>
  </si>
  <si>
    <t>ايجار الاستثمار</t>
  </si>
  <si>
    <t>مساعدات العجز - زكاة</t>
  </si>
  <si>
    <t>مساعدات الارامل - زكاة</t>
  </si>
  <si>
    <t>مساعدات المطلقات - زكاة</t>
  </si>
  <si>
    <t>الصالة رقم 1</t>
  </si>
  <si>
    <t xml:space="preserve">محل الذهب - برزان </t>
  </si>
  <si>
    <t xml:space="preserve">محل النظارات - البشيت </t>
  </si>
  <si>
    <t>مبيعات الملابس المستعملة</t>
  </si>
  <si>
    <t xml:space="preserve">رسوم العضوية </t>
  </si>
  <si>
    <t xml:space="preserve">تبرعات عينية عامة </t>
  </si>
  <si>
    <t xml:space="preserve">تبرعات كفارة اليمين نقدي </t>
  </si>
  <si>
    <t xml:space="preserve">تبرعات إفطار صائم نقدي </t>
  </si>
  <si>
    <t xml:space="preserve">دعم مؤسسة العجيمي الخيرية </t>
  </si>
  <si>
    <t xml:space="preserve">دعم مؤسسة حمد عبد الكريم المهيدب </t>
  </si>
  <si>
    <t>دعم مؤسسة العجيمي لتأسيس شقق الإسكان</t>
  </si>
  <si>
    <t xml:space="preserve">دعم مؤسسة المحيسن الخيرية </t>
  </si>
  <si>
    <t xml:space="preserve">مبادرة الجسد الواحد </t>
  </si>
  <si>
    <t xml:space="preserve">شقة رقم 3 - عمارة طريق الملك خالد </t>
  </si>
  <si>
    <t xml:space="preserve">الصالة رقم 8 - الفتحة 1 </t>
  </si>
  <si>
    <t xml:space="preserve">الصالة رقم 8 - الفتحة 2 </t>
  </si>
  <si>
    <t>مساعدات نقدية للحالات الطارئة المشروطة</t>
  </si>
  <si>
    <t xml:space="preserve">دعم لأسر العجيمي الخيرية </t>
  </si>
  <si>
    <t xml:space="preserve">مكافأة مؤسسة العجيمي للباحثين </t>
  </si>
  <si>
    <t xml:space="preserve">سداد دين دعم مؤسسة المهيدب </t>
  </si>
  <si>
    <t>أجهزة كهربائية - دعم العجيمي للاسكان</t>
  </si>
  <si>
    <t xml:space="preserve">مفروشات - دعم العجيمي للاسكان </t>
  </si>
  <si>
    <t xml:space="preserve"> </t>
  </si>
  <si>
    <t>البيان</t>
  </si>
  <si>
    <t xml:space="preserve">اجمالي الإيرادات </t>
  </si>
  <si>
    <t xml:space="preserve">اجمالي المصروفات التشغيلية </t>
  </si>
  <si>
    <t xml:space="preserve">اجمالي مصروفات الاسر </t>
  </si>
  <si>
    <t>النسبة المئوية</t>
  </si>
  <si>
    <t>اجمالي إيرادات البنوك</t>
  </si>
  <si>
    <t>هاتف</t>
  </si>
  <si>
    <t xml:space="preserve">بريد </t>
  </si>
  <si>
    <t xml:space="preserve">كهرباء </t>
  </si>
  <si>
    <t>مياه</t>
  </si>
  <si>
    <t xml:space="preserve">صيانة المباني </t>
  </si>
  <si>
    <t>صيانة الأجهزة</t>
  </si>
  <si>
    <t>صيانة السيارات</t>
  </si>
  <si>
    <t>عمولة بنكية</t>
  </si>
  <si>
    <t xml:space="preserve">تأمين السيارات </t>
  </si>
  <si>
    <t xml:space="preserve">رسوم تجديد رخصة السائق </t>
  </si>
  <si>
    <t xml:space="preserve">الوقود والمحروقات </t>
  </si>
  <si>
    <t xml:space="preserve">تجديد اقامات </t>
  </si>
  <si>
    <t xml:space="preserve">تأشيرات </t>
  </si>
  <si>
    <t xml:space="preserve">راتب الاجازة </t>
  </si>
  <si>
    <t>اجمالي الفائض</t>
  </si>
  <si>
    <t xml:space="preserve">تحليل مالي عن الفترة من تاريخ 1/1/2020م الى 31/03/2020م </t>
  </si>
  <si>
    <t xml:space="preserve">مصاريف الصرف الصحي </t>
  </si>
  <si>
    <t>صيانة وإصلاح للمباني المؤجرة</t>
  </si>
  <si>
    <t>مصاريف الصيانة لتسكين الاسر</t>
  </si>
  <si>
    <t xml:space="preserve">تبرعات زكاة الفطر نقدي </t>
  </si>
  <si>
    <t xml:space="preserve">تبرعات السلة الغذائية نقدي </t>
  </si>
  <si>
    <t xml:space="preserve">مؤسسة أبو غزالة الخيرية </t>
  </si>
  <si>
    <t xml:space="preserve">دعم جمعية اليقظة الخيرية </t>
  </si>
  <si>
    <t xml:space="preserve">دعم مؤسسة سليمان الراجحي لمبادرة الجسد الواحد </t>
  </si>
  <si>
    <t>تبرعات نقدية للحالات الطارئة افراد</t>
  </si>
  <si>
    <t xml:space="preserve">برنامج ساند </t>
  </si>
  <si>
    <t>محل زينة السيارات</t>
  </si>
  <si>
    <t xml:space="preserve">مجموعة صالات الشارقة </t>
  </si>
  <si>
    <t xml:space="preserve">محل رقم 1 مقابل الدائري - باسكن روبنز </t>
  </si>
  <si>
    <t>محل النظارات - شعيب</t>
  </si>
  <si>
    <t>الصالة رقم 7 فتحة رقم 1</t>
  </si>
  <si>
    <t>الصالة رقم 14</t>
  </si>
  <si>
    <t>الصالة رقم 9</t>
  </si>
  <si>
    <t xml:space="preserve">الصالة رقم 4 </t>
  </si>
  <si>
    <t>عمارة الشفاء - شقة رقم 2</t>
  </si>
  <si>
    <t>عمارة الشفاء - شقة رقم 29</t>
  </si>
  <si>
    <t>عمارة لبدة - شقة رقم 6</t>
  </si>
  <si>
    <t xml:space="preserve">مساعدات السلة الغذائية - زكاة </t>
  </si>
  <si>
    <t>مساعدات نقدية للحالات الطارئة افراد</t>
  </si>
  <si>
    <t xml:space="preserve">مساعدات مؤسسة أبو غزالة الخيرية </t>
  </si>
  <si>
    <t xml:space="preserve">سداد دين من جمعية اليقظة </t>
  </si>
  <si>
    <t xml:space="preserve">مصروفات مركز الدعم المجتمعي من دعم مؤسسة العجيمي </t>
  </si>
  <si>
    <t xml:space="preserve">مساعدات كفارة اليمين العينية </t>
  </si>
  <si>
    <t xml:space="preserve">مساعدات إفطار الصائم العينية </t>
  </si>
  <si>
    <t xml:space="preserve">مبادرة سمو الأمير عبد العزيز بن سعد لحملة الجسد الواحد </t>
  </si>
  <si>
    <t xml:space="preserve">مساعدات نقدية الحالات الطارئة المتجر </t>
  </si>
  <si>
    <t xml:space="preserve">مساعدات زكاة الفطر عيني </t>
  </si>
  <si>
    <t xml:space="preserve">نقل كفالة </t>
  </si>
  <si>
    <t xml:space="preserve">رسوم الغرفة التجارية </t>
  </si>
  <si>
    <t>ملابس العمال الموحد ( يونيفورم )</t>
  </si>
  <si>
    <t xml:space="preserve">مواد التنظيف </t>
  </si>
  <si>
    <t xml:space="preserve">صيانة وإصلاح - أجهزة التبريد والتدفئة والتهوية </t>
  </si>
  <si>
    <t xml:space="preserve">برنامج الخير الشامل و برنامج المورد </t>
  </si>
  <si>
    <t xml:space="preserve">برنامج رافد </t>
  </si>
  <si>
    <t>غرامات ومخالفات</t>
  </si>
  <si>
    <t xml:space="preserve">عمولة تحصيل متاخرتات رسوم المدارس </t>
  </si>
  <si>
    <t xml:space="preserve">ديون هالكة </t>
  </si>
  <si>
    <t xml:space="preserve">تحليل الايرادات مقابل المصروفات </t>
  </si>
  <si>
    <t>للفترة من 2020/1/1 الى 2020/6/30</t>
  </si>
  <si>
    <t>الايراد</t>
  </si>
  <si>
    <t>التشغيلية</t>
  </si>
  <si>
    <t>الفائض او العجز</t>
  </si>
  <si>
    <t>المقيدة</t>
  </si>
  <si>
    <t>الغير مقيدة</t>
  </si>
  <si>
    <t>الاستثمار - ( ايجارات 2020 + تحصيل المتأخرات من العام 2019 )</t>
  </si>
  <si>
    <t>الاجماليات</t>
  </si>
  <si>
    <t xml:space="preserve">مجموع الايرادات النقدية المقيدة </t>
  </si>
  <si>
    <t xml:space="preserve">مجموع الايرادات النقدية الغير مقيدة </t>
  </si>
  <si>
    <t xml:space="preserve">مجموع ايرادات الاستثمار </t>
  </si>
  <si>
    <t>تقرير  عن الفترة من تاريخ 2020/1/1م الى 2020/9/30م</t>
  </si>
  <si>
    <t xml:space="preserve">تقرير  عن الفترة من تاريخ 2020/1/1م الى 2020/9/30م </t>
  </si>
  <si>
    <t xml:space="preserve">مجموع المصروفات العينية المقيدة </t>
  </si>
  <si>
    <t xml:space="preserve">مجموع المصروفات النقدية المقيدة </t>
  </si>
  <si>
    <t xml:space="preserve">مجموع المصروفات العينية الغير مقيدة </t>
  </si>
  <si>
    <t xml:space="preserve">تقرير  عن الفترة من تاريخ 2020/1/1م الى 2020/9/30م  </t>
  </si>
  <si>
    <t>الاجمالي</t>
  </si>
  <si>
    <t>ايرادات اخرى</t>
  </si>
</sst>
</file>

<file path=xl/styles.xml><?xml version="1.0" encoding="utf-8"?>
<styleSheet xmlns="http://schemas.openxmlformats.org/spreadsheetml/2006/main">
  <numFmts count="6">
    <numFmt numFmtId="42" formatCode="_-&quot;ر.س.‏&quot;\ * #,##0_-;_-&quot;ر.س.‏&quot;\ * #,##0\-;_-&quot;ر.س.‏&quot;\ * &quot;-&quot;_-;_-@_-"/>
    <numFmt numFmtId="44" formatCode="_-&quot;ر.س.‏&quot;\ * #,##0.00_-;_-&quot;ر.س.‏&quot;\ * #,##0.00\-;_-&quot;ر.س.‏&quot;\ * &quot;-&quot;??_-;_-@_-"/>
    <numFmt numFmtId="164" formatCode="_(* #,##0_);_(* \(#,##0\);_(* &quot;-&quot;_);_(@_)"/>
    <numFmt numFmtId="165" formatCode="mmmm\ yyyy"/>
    <numFmt numFmtId="166" formatCode="0.0%"/>
    <numFmt numFmtId="167" formatCode="#,##0.00_ ;[Red]\-#,##0.00\ "/>
  </numFmts>
  <fonts count="27">
    <font>
      <sz val="11"/>
      <color theme="1"/>
      <name val="Tahoma"/>
      <family val="2"/>
    </font>
    <font>
      <sz val="11"/>
      <color indexed="8"/>
      <name val="Tahoma"/>
      <family val="2"/>
    </font>
    <font>
      <sz val="16"/>
      <color indexed="57"/>
      <name val="Tahoma"/>
      <family val="2"/>
    </font>
    <font>
      <b/>
      <sz val="12"/>
      <color indexed="57"/>
      <name val="Tahoma"/>
      <family val="2"/>
    </font>
    <font>
      <b/>
      <sz val="16"/>
      <color indexed="57"/>
      <name val="Tahoma"/>
      <family val="2"/>
    </font>
    <font>
      <b/>
      <u/>
      <sz val="11"/>
      <color indexed="8"/>
      <name val="Tahoma"/>
      <family val="2"/>
    </font>
    <font>
      <sz val="11"/>
      <color indexed="8"/>
      <name val="Tahoma"/>
    </font>
    <font>
      <b/>
      <sz val="11"/>
      <color indexed="8"/>
      <name val="Tahoma"/>
      <family val="2"/>
    </font>
    <font>
      <sz val="10"/>
      <name val="Arial"/>
      <family val="2"/>
    </font>
    <font>
      <b/>
      <sz val="11"/>
      <color indexed="8"/>
      <name val="Tahoma"/>
    </font>
    <font>
      <sz val="11"/>
      <color theme="1"/>
      <name val="Tahoma"/>
      <family val="2"/>
    </font>
    <font>
      <sz val="11"/>
      <color theme="9" tint="-0.499984740745262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sz val="16"/>
      <color theme="3"/>
      <name val="Tahoma"/>
      <family val="2"/>
    </font>
    <font>
      <sz val="11"/>
      <color theme="1" tint="4.9989318521683403E-2"/>
      <name val="Tahoma"/>
      <family val="2"/>
    </font>
    <font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sz val="36"/>
      <color theme="3"/>
      <name val="Tahoma"/>
      <family val="2"/>
    </font>
    <font>
      <sz val="11"/>
      <color rgb="FF6C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horizontal="right" wrapText="1" indent="1" readingOrder="2"/>
    </xf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5" applyNumberFormat="0" applyAlignment="0" applyProtection="0"/>
    <xf numFmtId="0" fontId="15" fillId="30" borderId="6" applyNumberFormat="0" applyAlignment="0" applyProtection="0"/>
    <xf numFmtId="167" fontId="1" fillId="0" borderId="0" applyFont="0" applyFill="0" applyBorder="0" applyProtection="0">
      <alignment horizontal="left" readingOrder="2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0" applyNumberFormat="0" applyFill="0" applyAlignment="0" applyProtection="0"/>
    <xf numFmtId="0" fontId="19" fillId="32" borderId="0" applyBorder="0" applyProtection="0">
      <alignment horizontal="left" vertical="center" indent="1"/>
    </xf>
    <xf numFmtId="0" fontId="19" fillId="32" borderId="0" applyNumberFormat="0" applyBorder="0" applyProtection="0">
      <alignment horizontal="left" vertical="center"/>
    </xf>
    <xf numFmtId="0" fontId="20" fillId="0" borderId="0" applyNumberFormat="0" applyFill="0" applyBorder="0" applyAlignment="0" applyProtection="0"/>
    <xf numFmtId="0" fontId="21" fillId="33" borderId="5" applyNumberFormat="0" applyAlignment="0" applyProtection="0"/>
    <xf numFmtId="0" fontId="22" fillId="0" borderId="7" applyNumberFormat="0" applyFill="0" applyAlignment="0" applyProtection="0"/>
    <xf numFmtId="0" fontId="23" fillId="34" borderId="0" applyNumberFormat="0" applyBorder="0" applyAlignment="0" applyProtection="0"/>
    <xf numFmtId="0" fontId="8" fillId="0" borderId="0"/>
    <xf numFmtId="0" fontId="1" fillId="35" borderId="8" applyNumberFormat="0" applyFont="0" applyAlignment="0" applyProtection="0"/>
    <xf numFmtId="0" fontId="24" fillId="29" borderId="9" applyNumberFormat="0" applyAlignment="0" applyProtection="0"/>
    <xf numFmtId="166" fontId="1" fillId="0" borderId="0" applyFont="0" applyFill="0" applyBorder="0" applyProtection="0">
      <alignment horizontal="left" readingOrder="2"/>
    </xf>
    <xf numFmtId="0" fontId="25" fillId="0" borderId="0" applyNumberFormat="0" applyFill="0" applyBorder="0" applyAlignment="0" applyProtection="0">
      <alignment readingOrder="2"/>
    </xf>
    <xf numFmtId="0" fontId="10" fillId="0" borderId="0" applyNumberFormat="0" applyFill="0" applyAlignment="0" applyProtection="0"/>
    <xf numFmtId="0" fontId="26" fillId="0" borderId="0" applyNumberFormat="0" applyFill="0" applyBorder="0" applyAlignment="0" applyProtection="0"/>
    <xf numFmtId="165" fontId="20" fillId="3" borderId="0" applyFill="0" applyBorder="0">
      <alignment horizontal="right" readingOrder="2"/>
    </xf>
  </cellStyleXfs>
  <cellXfs count="43">
    <xf numFmtId="0" fontId="0" fillId="0" borderId="0" xfId="0">
      <alignment horizontal="right" wrapText="1" indent="1" readingOrder="2"/>
    </xf>
    <xf numFmtId="0" fontId="0" fillId="3" borderId="0" xfId="0" applyFill="1">
      <alignment horizontal="right" wrapText="1" indent="1" readingOrder="2"/>
    </xf>
    <xf numFmtId="0" fontId="0" fillId="3" borderId="0" xfId="0" applyFill="1" applyAlignment="1">
      <alignment horizontal="right" wrapText="1" indent="1" readingOrder="2"/>
    </xf>
    <xf numFmtId="0" fontId="19" fillId="32" borderId="0" xfId="35" applyAlignment="1">
      <alignment horizontal="right" vertical="center" indent="1" readingOrder="2"/>
    </xf>
    <xf numFmtId="0" fontId="19" fillId="32" borderId="0" xfId="36" applyAlignment="1">
      <alignment horizontal="right" vertical="center" indent="1" readingOrder="2"/>
    </xf>
    <xf numFmtId="167" fontId="0" fillId="0" borderId="0" xfId="28" applyFont="1" applyAlignment="1">
      <alignment horizontal="right" wrapText="1" readingOrder="2"/>
    </xf>
    <xf numFmtId="0" fontId="19" fillId="32" borderId="0" xfId="36" applyAlignment="1">
      <alignment horizontal="center" vertical="center" readingOrder="2"/>
    </xf>
    <xf numFmtId="0" fontId="19" fillId="32" borderId="0" xfId="35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167" fontId="1" fillId="2" borderId="0" xfId="28" applyFont="1" applyFill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horizontal="center" vertical="center" readingOrder="2"/>
    </xf>
    <xf numFmtId="167" fontId="6" fillId="0" borderId="0" xfId="0" applyNumberFormat="1" applyFont="1" applyAlignment="1">
      <alignment horizontal="center" vertical="center" wrapText="1" readingOrder="2"/>
    </xf>
    <xf numFmtId="167" fontId="6" fillId="0" borderId="0" xfId="0" applyNumberFormat="1" applyFont="1" applyAlignment="1">
      <alignment horizontal="right" wrapText="1" readingOrder="2"/>
    </xf>
    <xf numFmtId="167" fontId="0" fillId="2" borderId="1" xfId="28" applyNumberFormat="1" applyFont="1" applyFill="1" applyBorder="1" applyAlignment="1">
      <alignment horizontal="center" vertical="center" wrapText="1" readingOrder="2"/>
    </xf>
    <xf numFmtId="0" fontId="0" fillId="2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wrapText="1" readingOrder="2"/>
    </xf>
    <xf numFmtId="1" fontId="0" fillId="0" borderId="0" xfId="0" applyNumberFormat="1" applyAlignment="1">
      <alignment horizontal="center" vertical="center" wrapText="1" readingOrder="2"/>
    </xf>
    <xf numFmtId="9" fontId="0" fillId="0" borderId="0" xfId="44" applyNumberFormat="1" applyFont="1" applyAlignment="1">
      <alignment horizontal="center" vertical="center" readingOrder="2"/>
    </xf>
    <xf numFmtId="9" fontId="0" fillId="2" borderId="1" xfId="44" applyNumberFormat="1" applyFont="1" applyFill="1" applyBorder="1" applyAlignment="1">
      <alignment horizontal="center" vertical="center" readingOrder="2"/>
    </xf>
    <xf numFmtId="0" fontId="0" fillId="0" borderId="0" xfId="28" applyNumberFormat="1" applyFont="1" applyAlignment="1">
      <alignment horizontal="center" vertical="center" wrapText="1" readingOrder="2"/>
    </xf>
    <xf numFmtId="0" fontId="0" fillId="0" borderId="0" xfId="0" applyNumberFormat="1" applyAlignment="1">
      <alignment horizontal="center" vertical="center" wrapText="1" readingOrder="2"/>
    </xf>
    <xf numFmtId="167" fontId="1" fillId="2" borderId="0" xfId="28" applyNumberFormat="1" applyFont="1" applyFill="1" applyAlignment="1">
      <alignment horizontal="center" vertical="center" wrapText="1" readingOrder="2"/>
    </xf>
    <xf numFmtId="3" fontId="0" fillId="0" borderId="0" xfId="0" applyNumberFormat="1" applyAlignment="1">
      <alignment horizontal="center" vertical="center" wrapText="1" readingOrder="2"/>
    </xf>
    <xf numFmtId="0" fontId="7" fillId="2" borderId="2" xfId="0" applyFont="1" applyFill="1" applyBorder="1" applyAlignment="1" applyProtection="1">
      <alignment horizontal="center" vertical="center" wrapText="1" readingOrder="2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3" xfId="0" applyBorder="1" applyAlignment="1">
      <alignment horizontal="center" vertical="center" wrapText="1" readingOrder="2"/>
    </xf>
    <xf numFmtId="167" fontId="1" fillId="2" borderId="3" xfId="28" applyFont="1" applyFill="1" applyBorder="1" applyAlignment="1">
      <alignment horizontal="center" vertical="center" wrapText="1" readingOrder="2"/>
    </xf>
    <xf numFmtId="167" fontId="0" fillId="0" borderId="0" xfId="0" applyNumberFormat="1" applyFont="1" applyAlignment="1">
      <alignment horizontal="right" wrapText="1" readingOrder="2"/>
    </xf>
    <xf numFmtId="0" fontId="7" fillId="0" borderId="3" xfId="0" applyFont="1" applyBorder="1" applyAlignment="1">
      <alignment horizontal="center" vertical="center" wrapText="1" readingOrder="2"/>
    </xf>
    <xf numFmtId="167" fontId="7" fillId="2" borderId="3" xfId="28" applyFont="1" applyFill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readingOrder="2"/>
    </xf>
    <xf numFmtId="167" fontId="7" fillId="0" borderId="4" xfId="0" applyNumberFormat="1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167" fontId="7" fillId="2" borderId="0" xfId="28" applyFont="1" applyFill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readingOrder="2"/>
    </xf>
    <xf numFmtId="167" fontId="7" fillId="0" borderId="3" xfId="0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167" fontId="9" fillId="0" borderId="3" xfId="0" applyNumberFormat="1" applyFont="1" applyBorder="1" applyAlignment="1">
      <alignment horizontal="center" vertical="center" wrapText="1" readingOrder="2"/>
    </xf>
    <xf numFmtId="0" fontId="2" fillId="3" borderId="0" xfId="34" applyFont="1" applyFill="1" applyAlignment="1">
      <alignment horizontal="center" vertical="center" readingOrder="2"/>
    </xf>
    <xf numFmtId="0" fontId="4" fillId="3" borderId="0" xfId="45" applyFont="1" applyFill="1" applyAlignment="1">
      <alignment horizontal="center" vertical="center" readingOrder="2"/>
    </xf>
    <xf numFmtId="0" fontId="3" fillId="3" borderId="0" xfId="45" applyFont="1" applyFill="1" applyAlignment="1">
      <alignment horizontal="center" vertical="center" readingOrder="2"/>
    </xf>
    <xf numFmtId="0" fontId="18" fillId="3" borderId="0" xfId="34" applyFill="1" applyAlignment="1">
      <alignment horizontal="center" vertical="center" readingOrder="2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[0]" xfId="29" builtinId="6" customBuiltin="1"/>
    <cellStyle name="Currency" xfId="30" builtinId="4" customBuiltin="1"/>
    <cellStyle name="Currency [0]" xfId="31" builtinId="7" customBuiltin="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 customBuiltin="1"/>
    <cellStyle name="Normal 2" xfId="41"/>
    <cellStyle name="Note" xfId="42" builtinId="10" customBuiltin="1"/>
    <cellStyle name="Output" xfId="43" builtinId="21" customBuiltin="1"/>
    <cellStyle name="Percent" xfId="44" builtinId="5" customBuiltin="1"/>
    <cellStyle name="Title" xfId="45" builtinId="15" customBuiltin="1"/>
    <cellStyle name="Total" xfId="46" builtinId="25" customBuiltin="1"/>
    <cellStyle name="Warning Text" xfId="47" builtinId="11" customBuiltin="1"/>
    <cellStyle name="التاريخ" xfId="48"/>
  </cellStyles>
  <dxfs count="62"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wrapText="0" indent="0" relativeIndent="0" justifyLastLine="0" shrinkToFit="0" mergeCell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2"/>
    </dxf>
    <dxf>
      <numFmt numFmtId="3" formatCode="#,##0"/>
      <alignment horizontal="center" vertical="center" textRotation="0" wrapText="1" indent="0" relativeIndent="0" justifyLastLine="0" shrinkToFit="0" mergeCell="0" readingOrder="2"/>
    </dxf>
    <dxf>
      <numFmt numFmtId="3" formatCode="#,##0"/>
      <alignment horizontal="center" vertical="center" textRotation="0" wrapText="1" indent="0" relativeIndent="0" justifyLastLine="0" shrinkToFit="0" mergeCell="0" readingOrder="2"/>
    </dxf>
    <dxf>
      <numFmt numFmtId="3" formatCode="#,##0"/>
      <alignment horizontal="center" vertical="center" textRotation="0" wrapText="1" indent="0" relativeIndent="0" justifyLastLine="0" shrinkToFit="0" mergeCell="0" readingOrder="2"/>
    </dxf>
    <dxf>
      <alignment horizontal="center" vertical="center" textRotation="0" wrapText="1" indent="0" relativeIndent="0" justifyLastLine="0" shrinkToFit="0" mergeCell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</dxf>
    <dxf>
      <numFmt numFmtId="1" formatCode="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PivotStyle="PivotStyleLight16">
    <tableStyle name="موازنة شهرية" pivot="0" count="4">
      <tableStyleElement type="wholeTable" dxfId="61"/>
      <tableStyleElement type="headerRow" dxfId="60"/>
      <tableStyleElement type="totalRow" dxfId="59"/>
      <tableStyleElement type="lastColumn" dxfId="58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النفقات_التشغيلية3462" displayName="النفقات_التشغيلية3462" ref="B4:D8" totalsRowCount="1" headerRowDxfId="51" dataDxfId="50" totalsRowDxfId="49">
  <autoFilter ref="B4:D7"/>
  <sortState ref="B5:D24">
    <sortCondition ref="B4:B24"/>
  </sortState>
  <tableColumns count="3">
    <tableColumn id="1" name="البيان" totalsRowLabel="اجمالي الفائض" dataDxfId="56" totalsRowDxfId="57"/>
    <tableColumn id="2" name="النسبة المئوية" totalsRowFunction="custom" dataDxfId="54" totalsRowDxfId="55" dataCellStyle="Percent">
      <calculatedColumnFormula>'الرئيسي '!$D5/D3</calculatedColumnFormula>
      <totalsRowFormula>D8/D5</totalsRowFormula>
    </tableColumn>
    <tableColumn id="3" name="المبلغ" totalsRowFunction="custom" dataDxfId="52" totalsRowDxfId="53" dataCellStyle="Comma">
      <calculatedColumnFormula>'مصروفات الاسر'!$C$38</calculatedColumnFormula>
      <totalsRowFormula>D5-D6-D7</totalsRowFormula>
    </tableColumn>
  </tableColumns>
  <tableStyleInfo name="موازنة شهرية" showFirstColumn="0" showLastColumn="1" showRowStripes="0" showColumnStripes="0"/>
</table>
</file>

<file path=xl/tables/table2.xml><?xml version="1.0" encoding="utf-8"?>
<table xmlns="http://schemas.openxmlformats.org/spreadsheetml/2006/main" id="4" name="النفقات_التشغيلية34625" displayName="النفقات_التشغيلية34625" ref="B4:F7" totalsRowShown="0" headerRowDxfId="38" headerRowCellStyle="Heading 2">
  <autoFilter ref="B4:F7"/>
  <sortState ref="B5:D24">
    <sortCondition ref="B4:B24"/>
  </sortState>
  <tableColumns count="5">
    <tableColumn id="1" name="البيان" dataDxfId="43" totalsRowDxfId="48"/>
    <tableColumn id="2" name="الايراد" dataDxfId="42" totalsRowDxfId="47" dataCellStyle="Percent">
      <calculatedColumnFormula>'الايرادات التبرعات'!C56</calculatedColumnFormula>
    </tableColumn>
    <tableColumn id="4" name="مصروفات الاسر " dataDxfId="41" totalsRowDxfId="46"/>
    <tableColumn id="5" name="التشغيلية" dataDxfId="40" totalsRowDxfId="45">
      <calculatedColumnFormula>'المصروفات التشغيلية'!$E$48</calculatedColumnFormula>
    </tableColumn>
    <tableColumn id="3" name="الفائض او العجز" dataDxfId="39" totalsRowDxfId="44" dataCellStyle="Comma">
      <calculatedColumnFormula>'الايرادات مقابل المصروفات'!$C5-'الايرادات مقابل المصروفات'!$D5-'الايرادات مقابل المصروفات'!$E5</calculatedColumnFormula>
    </tableColumn>
  </tableColumns>
  <tableStyleInfo name="موازنة شهرية" showFirstColumn="0" showLastColumn="1" showRowStripes="0" showColumnStripes="0"/>
</table>
</file>

<file path=xl/tables/table3.xml><?xml version="1.0" encoding="utf-8"?>
<table xmlns="http://schemas.openxmlformats.org/spreadsheetml/2006/main" id="5" name="النفقات_التشغيلية346" displayName="النفقات_التشغيلية346" ref="B4:E46" totalsRowCount="1" headerRowDxfId="29" dataDxfId="28" totalsRowDxfId="27">
  <autoFilter ref="B4:E45"/>
  <sortState ref="B5:D24">
    <sortCondition ref="B4:B24"/>
  </sortState>
  <tableColumns count="4">
    <tableColumn id="1" name="رقم الحساب" totalsRowLabel="الاجمالي " dataDxfId="36" totalsRowDxfId="37"/>
    <tableColumn id="2" name="اسم الحساب" dataDxfId="34" totalsRowDxfId="35"/>
    <tableColumn id="3" name="المبلغ" totalsRowFunction="custom" dataDxfId="32" totalsRowDxfId="33" dataCellStyle="Comma">
      <totalsRowFormula>D22+D27+D34+D38+D41+D44</totalsRowFormula>
    </tableColumn>
    <tableColumn id="5" name="أعلى 5 مبالغ" dataDxfId="30" totalsRowDxfId="31" dataCellStyle="Comma">
      <calculatedColumnFormula>'ارصدة البنوك'!$D5+(10^-6)*ROW('ارصدة البنوك'!$D5)</calculatedColumnFormula>
    </tableColumn>
  </tableColumns>
  <tableStyleInfo name="موازنة شهرية" showFirstColumn="0" showLastColumn="1" showRowStripes="0" showColumnStripes="0"/>
</table>
</file>

<file path=xl/tables/table4.xml><?xml version="1.0" encoding="utf-8"?>
<table xmlns="http://schemas.openxmlformats.org/spreadsheetml/2006/main" id="9" name="النفقات_التشغيلية" displayName="النفقات_التشغيلية" ref="B4:F48" totalsRowCount="1" headerRowDxfId="20" dataDxfId="19" totalsRowDxfId="18">
  <autoFilter ref="B4:F47"/>
  <sortState ref="B5:E23">
    <sortCondition ref="B4:B23"/>
  </sortState>
  <tableColumns count="5">
    <tableColumn id="1" name="المصروفات التشغيلية" totalsRowLabel="إجمالي المصروفات التشغيلية" totalsRowDxfId="26"/>
    <tableColumn id="2" name="الادراة" totalsRowFunction="sum" totalsRowDxfId="25" dataCellStyle="Comma">
      <calculatedColumnFormula>6000</calculatedColumnFormula>
    </tableColumn>
    <tableColumn id="6" name="المستودع والمتجر" totalsRowFunction="sum" totalsRowDxfId="24"/>
    <tableColumn id="3" name="المجموع" totalsRowFunction="sum" totalsRowDxfId="23" dataCellStyle="Comma">
      <calculatedColumnFormula>'المصروفات التشغيلية'!$C5+'المصروفات التشغيلية'!$D5</calculatedColumnFormula>
    </tableColumn>
    <tableColumn id="5" name="أعلى 5 مبالغ" dataDxfId="21" totalsRowDxfId="22" dataCellStyle="Comma">
      <calculatedColumnFormula>'المصروفات التشغيلية'!$E5+(10^-6)*ROW('المصروفات التشغيلية'!$E5)</calculatedColumnFormula>
    </tableColumn>
  </tableColumns>
  <tableStyleInfo name="موازنة شهرية" showFirstColumn="0" showLastColumn="1" showRowStripes="0" showColumnStripes="0"/>
</table>
</file>

<file path=xl/tables/table5.xml><?xml version="1.0" encoding="utf-8"?>
<table xmlns="http://schemas.openxmlformats.org/spreadsheetml/2006/main" id="2" name="النفقات_التشغيلية3" displayName="النفقات_التشغيلية3" ref="B4:D38" totalsRowCount="1" headerRowDxfId="11" dataDxfId="10" totalsRowDxfId="9">
  <autoFilter ref="B4:D37"/>
  <sortState ref="B5:D17">
    <sortCondition ref="B4:B17"/>
  </sortState>
  <tableColumns count="3">
    <tableColumn id="1" name="مصروفات الاسر " totalsRowLabel="اجمالي مصروفات الاسر" dataDxfId="16" totalsRowDxfId="17"/>
    <tableColumn id="3" name="القيمة" totalsRowFunction="custom" dataDxfId="14" totalsRowDxfId="15" dataCellStyle="Comma">
      <totalsRowFormula>C20+C32+C36</totalsRowFormula>
    </tableColumn>
    <tableColumn id="5" name="أعلى 5 مبالغ" dataDxfId="12" totalsRowDxfId="13" dataCellStyle="Comma">
      <calculatedColumnFormula>'مصروفات الاسر'!$C5+(10^-6)*ROW('مصروفات الاسر'!$C5)</calculatedColumnFormula>
    </tableColumn>
  </tableColumns>
  <tableStyleInfo name="موازنة شهرية" showFirstColumn="0" showLastColumn="1" showRowStripes="0" showColumnStripes="0"/>
</table>
</file>

<file path=xl/tables/table6.xml><?xml version="1.0" encoding="utf-8"?>
<table xmlns="http://schemas.openxmlformats.org/spreadsheetml/2006/main" id="3" name="النفقات_التشغيلية34" displayName="النفقات_التشغيلية34" ref="B4:D60" totalsRowCount="1" headerRowDxfId="2" dataDxfId="1" totalsRowDxfId="0">
  <autoFilter ref="B4:D59"/>
  <sortState ref="B5:D10">
    <sortCondition ref="B4:B10"/>
  </sortState>
  <tableColumns count="3">
    <tableColumn id="1" name="الايرادات" totalsRowLabel="اجمالي الايرادات" dataDxfId="7" totalsRowDxfId="8"/>
    <tableColumn id="3" name="الفعلي" totalsRowFunction="custom" dataDxfId="5" totalsRowDxfId="6" dataCellStyle="Comma">
      <totalsRowFormula>C24+C35+C58</totalsRowFormula>
    </tableColumn>
    <tableColumn id="5" name="أعلى 5 مبالغ" dataDxfId="3" totalsRowDxfId="4" dataCellStyle="Comma">
      <calculatedColumnFormula>'الايرادات التبرعات'!$C5+(10^-6)*ROW('الايرادات التبرعات'!$C5)</calculatedColumnFormula>
    </tableColumn>
  </tableColumns>
  <tableStyleInfo name="موازنة شهرية" showFirstColumn="0" showLastColumn="1" showRowStripes="0" showColumnStripes="0"/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9"/>
  <sheetViews>
    <sheetView showGridLines="0" rightToLeft="1" zoomScaleNormal="100" workbookViewId="0">
      <selection activeCell="B1" sqref="B1:E1"/>
    </sheetView>
  </sheetViews>
  <sheetFormatPr defaultColWidth="8.875" defaultRowHeight="30" customHeight="1"/>
  <cols>
    <col min="1" max="1" width="2.625" style="1" customWidth="1"/>
    <col min="2" max="2" width="28.125" style="1" customWidth="1"/>
    <col min="3" max="4" width="16.75" style="1" customWidth="1"/>
    <col min="5" max="5" width="4" style="1" customWidth="1"/>
    <col min="6" max="6" width="4" customWidth="1"/>
  </cols>
  <sheetData>
    <row r="1" spans="1:5" ht="21" customHeight="1">
      <c r="A1" s="2"/>
      <c r="B1" s="39" t="s">
        <v>128</v>
      </c>
      <c r="C1" s="39"/>
      <c r="D1" s="39"/>
      <c r="E1" s="39"/>
    </row>
    <row r="2" spans="1:5" ht="17.25" customHeight="1">
      <c r="A2" s="2"/>
      <c r="B2" s="40" t="s">
        <v>106</v>
      </c>
      <c r="C2" s="40"/>
      <c r="D2" s="41"/>
      <c r="E2" s="41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7" t="s">
        <v>107</v>
      </c>
      <c r="C4" s="7" t="s">
        <v>111</v>
      </c>
      <c r="D4" s="6" t="s">
        <v>0</v>
      </c>
      <c r="E4" s="2"/>
    </row>
    <row r="5" spans="1:5" ht="19.5" customHeight="1">
      <c r="A5" s="2"/>
      <c r="B5" s="10" t="s">
        <v>108</v>
      </c>
      <c r="C5" s="17">
        <v>0</v>
      </c>
      <c r="D5" s="9">
        <f ca="1">'الايرادات مقابل المصروفات'!C9</f>
        <v>10764718.17</v>
      </c>
      <c r="E5" s="2"/>
    </row>
    <row r="6" spans="1:5" ht="19.5" customHeight="1">
      <c r="A6" s="2"/>
      <c r="B6" s="10" t="s">
        <v>109</v>
      </c>
      <c r="C6" s="18">
        <f ca="1">'الرئيسي '!$D6/D5</f>
        <v>0.24461705902700842</v>
      </c>
      <c r="D6" s="9">
        <f ca="1">'المصروفات التشغيلية'!$E$48</f>
        <v>2633233.7000000002</v>
      </c>
      <c r="E6" s="2"/>
    </row>
    <row r="7" spans="1:5" ht="19.5" customHeight="1">
      <c r="A7" s="2"/>
      <c r="B7" s="10" t="s">
        <v>110</v>
      </c>
      <c r="C7" s="18">
        <f ca="1">'الرئيسي '!$D7/D5</f>
        <v>0.72796258167156447</v>
      </c>
      <c r="D7" s="9">
        <f ca="1">'مصروفات الاسر'!$C$38</f>
        <v>7836312.0299999993</v>
      </c>
      <c r="E7" s="2"/>
    </row>
    <row r="8" spans="1:5" ht="48" customHeight="1">
      <c r="A8" s="2"/>
      <c r="B8" s="11" t="s">
        <v>127</v>
      </c>
      <c r="C8" s="18">
        <f>D8/D5</f>
        <v>2.7420359301427062E-2</v>
      </c>
      <c r="D8" s="12">
        <f>D5-D6-D7</f>
        <v>295172.44000000041</v>
      </c>
      <c r="E8" s="2"/>
    </row>
    <row r="9" spans="1:5" ht="48" customHeight="1">
      <c r="B9" s="15" t="s">
        <v>112</v>
      </c>
      <c r="C9" s="19"/>
      <c r="D9" s="14">
        <f ca="1">'ارصدة البنوك'!$D$46</f>
        <v>6150726.8699999992</v>
      </c>
    </row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:C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C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C4"/>
    <dataValidation allowBlank="1" showInputMessage="1" showErrorMessage="1" prompt="أدخل المبلغ &quot;الفعلي&quot; في هذا العمود أسفل هذا العنوان" sqref="D4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G10"/>
  <sheetViews>
    <sheetView showGridLines="0" rightToLeft="1" view="pageBreakPreview" zoomScale="60" zoomScaleNormal="100" workbookViewId="0">
      <selection activeCell="F9" sqref="F9"/>
    </sheetView>
  </sheetViews>
  <sheetFormatPr defaultColWidth="8.875" defaultRowHeight="30" customHeight="1"/>
  <cols>
    <col min="1" max="1" width="4" style="1" customWidth="1"/>
    <col min="2" max="2" width="28.125" style="1" customWidth="1"/>
    <col min="3" max="6" width="16.75" style="1" customWidth="1"/>
    <col min="7" max="7" width="4" style="1" customWidth="1"/>
    <col min="8" max="8" width="4" customWidth="1"/>
  </cols>
  <sheetData>
    <row r="1" spans="1:7" ht="31.5" customHeight="1">
      <c r="A1" s="2"/>
      <c r="B1" s="40" t="s">
        <v>170</v>
      </c>
      <c r="C1" s="40"/>
      <c r="D1" s="40"/>
      <c r="E1" s="40"/>
      <c r="F1" s="41"/>
      <c r="G1" s="41"/>
    </row>
    <row r="2" spans="1:7" ht="31.5" customHeight="1">
      <c r="A2" s="2"/>
      <c r="B2" s="40" t="s">
        <v>171</v>
      </c>
      <c r="C2" s="40"/>
      <c r="D2" s="40"/>
      <c r="E2" s="40"/>
      <c r="F2" s="41"/>
      <c r="G2" s="41"/>
    </row>
    <row r="3" spans="1:7" ht="15" customHeight="1">
      <c r="A3" s="2"/>
      <c r="B3" s="2"/>
      <c r="C3" s="2"/>
      <c r="D3" s="2"/>
      <c r="E3" s="2"/>
      <c r="F3" s="2"/>
      <c r="G3" s="2"/>
    </row>
    <row r="4" spans="1:7" ht="30" customHeight="1">
      <c r="A4" s="2"/>
      <c r="B4" s="7" t="s">
        <v>107</v>
      </c>
      <c r="C4" s="7" t="s">
        <v>172</v>
      </c>
      <c r="D4" s="7" t="s">
        <v>6</v>
      </c>
      <c r="E4" s="7" t="s">
        <v>173</v>
      </c>
      <c r="F4" s="6" t="s">
        <v>174</v>
      </c>
      <c r="G4" s="2"/>
    </row>
    <row r="5" spans="1:7" ht="35.25" customHeight="1">
      <c r="A5" s="2"/>
      <c r="B5" s="10" t="s">
        <v>175</v>
      </c>
      <c r="C5" s="23">
        <f ca="1">'الايرادات التبرعات'!C24</f>
        <v>6783994.0899999999</v>
      </c>
      <c r="D5" s="23">
        <f ca="1">'مصروفات الاسر'!C20+'مصروفات الاسر'!C32</f>
        <v>7550293.0299999993</v>
      </c>
      <c r="E5" s="23">
        <v>0</v>
      </c>
      <c r="F5" s="9">
        <f ca="1">'الايرادات مقابل المصروفات'!$C5-'الايرادات مقابل المصروفات'!$D5-'الايرادات مقابل المصروفات'!$E5</f>
        <v>-766298.93999999948</v>
      </c>
      <c r="G5" s="2"/>
    </row>
    <row r="6" spans="1:7" ht="35.25" customHeight="1">
      <c r="A6" s="2"/>
      <c r="B6" s="10" t="s">
        <v>176</v>
      </c>
      <c r="C6" s="23">
        <f ca="1">'الايرادات التبرعات'!C35</f>
        <v>3314545.08</v>
      </c>
      <c r="D6" s="23">
        <f ca="1">'مصروفات الاسر'!C36</f>
        <v>286019</v>
      </c>
      <c r="E6" s="23">
        <v>0</v>
      </c>
      <c r="F6" s="9">
        <f ca="1">'الايرادات مقابل المصروفات'!$C6-'الايرادات مقابل المصروفات'!$D6-'الايرادات مقابل المصروفات'!$E6</f>
        <v>3028526.08</v>
      </c>
      <c r="G6" s="2"/>
    </row>
    <row r="7" spans="1:7" ht="35.25" customHeight="1">
      <c r="A7" s="2"/>
      <c r="B7" s="10" t="s">
        <v>177</v>
      </c>
      <c r="C7" s="23">
        <f ca="1">'الايرادات التبرعات'!C58</f>
        <v>666179</v>
      </c>
      <c r="D7" s="23">
        <v>0</v>
      </c>
      <c r="E7" s="23">
        <f ca="1">'المصروفات التشغيلية'!$E$48</f>
        <v>2633233.7000000002</v>
      </c>
      <c r="F7" s="9">
        <f ca="1">'الايرادات مقابل المصروفات'!$C7-'الايرادات مقابل المصروفات'!$D7-'الايرادات مقابل المصروفات'!$E7</f>
        <v>-1967054.7000000002</v>
      </c>
      <c r="G7" s="2"/>
    </row>
    <row r="8" spans="1:7" ht="15" customHeight="1" thickBot="1"/>
    <row r="9" spans="1:7" ht="30" customHeight="1" thickTop="1" thickBot="1">
      <c r="B9" s="24" t="s">
        <v>178</v>
      </c>
      <c r="C9" s="25">
        <f>SUM(C5:C8)</f>
        <v>10764718.17</v>
      </c>
      <c r="D9" s="25">
        <f>SUM(D5:D8)</f>
        <v>7836312.0299999993</v>
      </c>
      <c r="E9" s="25">
        <f>SUM(E5:E8)</f>
        <v>2633233.7000000002</v>
      </c>
      <c r="F9" s="25">
        <f>SUM(F5:F8)</f>
        <v>295172.44000000041</v>
      </c>
    </row>
    <row r="10" spans="1:7" ht="30" customHeight="1" thickTop="1"/>
  </sheetData>
  <sheetProtection insertColumns="0" insertRows="0" deleteColumns="0" deleteRows="0" selectLockedCells="1" autoFilter="0"/>
  <dataConsolidate/>
  <mergeCells count="2">
    <mergeCell ref="B1:G1"/>
    <mergeCell ref="B2:G2"/>
  </mergeCells>
  <phoneticPr fontId="0" type="noConversion"/>
  <dataValidations count="5">
    <dataValidation allowBlank="1" showInputMessage="1" showErrorMessage="1" prompt="أدخل المبلغ &quot;الفعلي&quot; في هذا العمود أسفل هذا العنوان" sqref="F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E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E2"/>
    <dataValidation allowBlank="1" showInputMessage="1" showErrorMessage="1" prompt="يتم تحديث &quot;اسم الشركة&quot; تلقائياً في هذه الخلية" sqref="B1:E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2" bottom="0.25" header="0" footer="0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F47"/>
  <sheetViews>
    <sheetView showGridLines="0" rightToLeft="1" view="pageBreakPreview" topLeftCell="A21" zoomScale="60" zoomScaleNormal="100" workbookViewId="0">
      <selection activeCell="C36" sqref="C36"/>
    </sheetView>
  </sheetViews>
  <sheetFormatPr defaultColWidth="8.875" defaultRowHeight="30" customHeight="1"/>
  <cols>
    <col min="1" max="1" width="4" style="1" customWidth="1"/>
    <col min="2" max="2" width="19.125" style="1" customWidth="1"/>
    <col min="3" max="3" width="20.25" style="1" customWidth="1"/>
    <col min="4" max="4" width="18.875" style="1" customWidth="1"/>
    <col min="5" max="5" width="21.875" style="1" hidden="1" customWidth="1"/>
    <col min="6" max="6" width="4" style="1" customWidth="1"/>
    <col min="7" max="7" width="4" customWidth="1"/>
  </cols>
  <sheetData>
    <row r="1" spans="1:6" ht="21" customHeight="1">
      <c r="A1" s="2"/>
      <c r="B1" s="42" t="s">
        <v>183</v>
      </c>
      <c r="C1" s="42"/>
      <c r="D1" s="42"/>
      <c r="E1" s="42"/>
      <c r="F1" s="42"/>
    </row>
    <row r="2" spans="1:6" ht="17.25" customHeight="1">
      <c r="A2" s="2"/>
      <c r="B2" s="40" t="s">
        <v>15</v>
      </c>
      <c r="C2" s="40"/>
      <c r="D2" s="41"/>
      <c r="E2" s="41"/>
      <c r="F2" s="41"/>
    </row>
    <row r="3" spans="1:6" ht="15" customHeight="1">
      <c r="A3" s="2"/>
      <c r="B3" s="2"/>
      <c r="C3" s="2"/>
      <c r="D3" s="2"/>
      <c r="E3" s="2"/>
      <c r="F3" s="2"/>
    </row>
    <row r="4" spans="1:6" ht="30" customHeight="1">
      <c r="A4" s="2"/>
      <c r="B4" s="7" t="s">
        <v>20</v>
      </c>
      <c r="C4" s="7" t="s">
        <v>19</v>
      </c>
      <c r="D4" s="6" t="s">
        <v>0</v>
      </c>
      <c r="E4" s="3" t="s">
        <v>2</v>
      </c>
      <c r="F4" s="2"/>
    </row>
    <row r="5" spans="1:6" ht="19.5" customHeight="1">
      <c r="A5" s="2"/>
      <c r="B5" s="8" t="s">
        <v>16</v>
      </c>
      <c r="C5" s="8"/>
      <c r="D5" s="9"/>
      <c r="E5" s="5">
        <f ca="1">'ارصدة البنوك'!$D5+(10^-6)*ROW('ارصدة البنوك'!$D5)</f>
        <v>4.9999999999999996E-6</v>
      </c>
      <c r="F5" s="2"/>
    </row>
    <row r="6" spans="1:6" ht="19.5" customHeight="1">
      <c r="A6" s="2"/>
      <c r="B6" s="10">
        <v>404001</v>
      </c>
      <c r="C6" s="10" t="s">
        <v>26</v>
      </c>
      <c r="D6" s="9">
        <v>200</v>
      </c>
      <c r="E6" s="5">
        <f ca="1">'ارصدة البنوك'!$D6+(10^-6)*ROW('ارصدة البنوك'!$D6)</f>
        <v>200.00000600000001</v>
      </c>
      <c r="F6" s="2"/>
    </row>
    <row r="7" spans="1:6" ht="19.5" customHeight="1">
      <c r="A7" s="2"/>
      <c r="B7" s="10">
        <v>2778</v>
      </c>
      <c r="C7" s="10" t="s">
        <v>26</v>
      </c>
      <c r="D7" s="9">
        <v>10000</v>
      </c>
      <c r="E7" s="5">
        <f ca="1">'ارصدة البنوك'!$D7+(10^-6)*ROW('ارصدة البنوك'!$D7)</f>
        <v>10000.000007000001</v>
      </c>
      <c r="F7" s="2"/>
    </row>
    <row r="8" spans="1:6" ht="19.5" customHeight="1">
      <c r="A8" s="2"/>
      <c r="B8" s="10">
        <v>332004</v>
      </c>
      <c r="C8" s="10" t="s">
        <v>26</v>
      </c>
      <c r="D8" s="9">
        <v>15000</v>
      </c>
      <c r="E8" s="5">
        <f ca="1">'ارصدة البنوك'!$D8+(10^-6)*ROW('ارصدة البنوك'!$D8)</f>
        <v>15000.000008000001</v>
      </c>
      <c r="F8" s="2"/>
    </row>
    <row r="9" spans="1:6" ht="19.5" customHeight="1">
      <c r="A9" s="2"/>
      <c r="B9" s="10">
        <v>3188870</v>
      </c>
      <c r="C9" s="10" t="s">
        <v>27</v>
      </c>
      <c r="D9" s="9">
        <v>275116.89</v>
      </c>
      <c r="E9" s="5">
        <f ca="1">'ارصدة البنوك'!$D9+(10^-6)*ROW('ارصدة البنوك'!$D9)</f>
        <v>275116.89000900002</v>
      </c>
      <c r="F9" s="2"/>
    </row>
    <row r="10" spans="1:6" ht="19.5" customHeight="1">
      <c r="A10" s="2"/>
      <c r="B10" s="10">
        <v>187663</v>
      </c>
      <c r="C10" s="10" t="s">
        <v>28</v>
      </c>
      <c r="D10" s="9">
        <v>298930.51</v>
      </c>
      <c r="E10" s="5">
        <f ca="1">'ارصدة البنوك'!$D10+(10^-6)*ROW('ارصدة البنوك'!$D10)</f>
        <v>298930.51001000003</v>
      </c>
      <c r="F10" s="2"/>
    </row>
    <row r="11" spans="1:6" ht="19.5" customHeight="1">
      <c r="A11" s="2"/>
      <c r="B11" s="10">
        <v>338</v>
      </c>
      <c r="C11" s="10" t="s">
        <v>29</v>
      </c>
      <c r="D11" s="9">
        <v>1562623.93</v>
      </c>
      <c r="E11" s="5">
        <f ca="1">'ارصدة البنوك'!$D11+(10^-6)*ROW('ارصدة البنوك'!$D11)</f>
        <v>1562623.930011</v>
      </c>
      <c r="F11" s="2"/>
    </row>
    <row r="12" spans="1:6" ht="19.5" customHeight="1">
      <c r="A12" s="2"/>
      <c r="B12" s="10">
        <v>13003</v>
      </c>
      <c r="C12" s="10" t="s">
        <v>30</v>
      </c>
      <c r="D12" s="9">
        <v>19083.37</v>
      </c>
      <c r="E12" s="5">
        <f ca="1">'ارصدة البنوك'!$D12+(10^-6)*ROW('ارصدة البنوك'!$D12)</f>
        <v>19083.370011999999</v>
      </c>
      <c r="F12" s="2"/>
    </row>
    <row r="13" spans="1:6" ht="19.5" customHeight="1">
      <c r="A13" s="2"/>
      <c r="B13" s="10">
        <v>348752</v>
      </c>
      <c r="C13" s="10" t="s">
        <v>35</v>
      </c>
      <c r="D13" s="9">
        <v>30801.69</v>
      </c>
      <c r="E13" s="5">
        <f ca="1">'ارصدة البنوك'!$D13+(10^-6)*ROW('ارصدة البنوك'!$D13)</f>
        <v>30801.690012999999</v>
      </c>
      <c r="F13" s="2"/>
    </row>
    <row r="14" spans="1:6" ht="19.5" customHeight="1">
      <c r="A14" s="2"/>
      <c r="B14" s="10">
        <v>157559</v>
      </c>
      <c r="C14" s="10" t="s">
        <v>32</v>
      </c>
      <c r="D14" s="9">
        <v>776560.63</v>
      </c>
      <c r="E14" s="5">
        <f ca="1">'ارصدة البنوك'!$D14+(10^-6)*ROW('ارصدة البنوك'!$D14)</f>
        <v>776560.63001399999</v>
      </c>
      <c r="F14" s="2"/>
    </row>
    <row r="15" spans="1:6" ht="19.5" customHeight="1">
      <c r="A15" s="2"/>
      <c r="B15" s="10">
        <v>457884</v>
      </c>
      <c r="C15" s="10" t="s">
        <v>33</v>
      </c>
      <c r="D15" s="9">
        <v>41835.97</v>
      </c>
      <c r="E15" s="5">
        <f ca="1">'ارصدة البنوك'!$D15+(10^-6)*ROW('ارصدة البنوك'!$D15)</f>
        <v>41835.970014999999</v>
      </c>
      <c r="F15" s="2"/>
    </row>
    <row r="16" spans="1:6" ht="19.5" customHeight="1">
      <c r="A16" s="2"/>
      <c r="B16" s="10">
        <v>661</v>
      </c>
      <c r="C16" s="10" t="s">
        <v>34</v>
      </c>
      <c r="D16" s="9">
        <v>9025.4699999999993</v>
      </c>
      <c r="E16" s="5">
        <f ca="1">'ارصدة البنوك'!$D16+(10^-6)*ROW('ارصدة البنوك'!$D16)</f>
        <v>9025.4700159999993</v>
      </c>
      <c r="F16" s="2"/>
    </row>
    <row r="17" spans="1:6" ht="19.5" customHeight="1">
      <c r="A17" s="2"/>
      <c r="B17" s="10">
        <v>122440</v>
      </c>
      <c r="C17" s="10" t="s">
        <v>31</v>
      </c>
      <c r="D17" s="9">
        <v>128566.26</v>
      </c>
      <c r="E17" s="5">
        <f ca="1">'ارصدة البنوك'!$D17+(10^-6)*ROW('ارصدة البنوك'!$D17)</f>
        <v>128566.26001699999</v>
      </c>
      <c r="F17" s="2"/>
    </row>
    <row r="18" spans="1:6" ht="19.5" customHeight="1">
      <c r="A18" s="2"/>
      <c r="B18" s="10">
        <v>554</v>
      </c>
      <c r="C18" s="10" t="s">
        <v>36</v>
      </c>
      <c r="D18" s="9">
        <v>175.42</v>
      </c>
      <c r="E18" s="5">
        <f ca="1">'ارصدة البنوك'!$D18+(10^-6)*ROW('ارصدة البنوك'!$D18)</f>
        <v>175.420018</v>
      </c>
      <c r="F18" s="2"/>
    </row>
    <row r="19" spans="1:6" ht="19.5" customHeight="1">
      <c r="A19" s="2"/>
      <c r="B19" s="10">
        <v>122358</v>
      </c>
      <c r="C19" s="10" t="s">
        <v>37</v>
      </c>
      <c r="D19" s="9">
        <v>504076.93</v>
      </c>
      <c r="E19" s="5">
        <f ca="1">'ارصدة البنوك'!$D19+(10^-6)*ROW('ارصدة البنوك'!$D19)</f>
        <v>504076.93001900002</v>
      </c>
      <c r="F19" s="2"/>
    </row>
    <row r="20" spans="1:6" ht="19.5" customHeight="1">
      <c r="A20" s="2"/>
      <c r="B20" s="10">
        <v>65136</v>
      </c>
      <c r="C20" s="10" t="s">
        <v>38</v>
      </c>
      <c r="D20" s="9">
        <v>928726.76</v>
      </c>
      <c r="E20" s="5">
        <f ca="1">'ارصدة البنوك'!$D20+(10^-6)*ROW('ارصدة البنوك'!$D20)</f>
        <v>928726.76002000005</v>
      </c>
      <c r="F20" s="2"/>
    </row>
    <row r="21" spans="1:6" ht="19.5" customHeight="1" thickBot="1">
      <c r="A21" s="2"/>
      <c r="B21" s="10">
        <v>349941</v>
      </c>
      <c r="C21" s="10" t="s">
        <v>39</v>
      </c>
      <c r="D21" s="9">
        <v>60042.43</v>
      </c>
      <c r="E21" s="5">
        <f ca="1">'ارصدة البنوك'!$D21+(10^-6)*ROW('ارصدة البنوك'!$D21)</f>
        <v>60042.430021</v>
      </c>
      <c r="F21" s="2"/>
    </row>
    <row r="22" spans="1:6" ht="19.5" customHeight="1" thickTop="1" thickBot="1">
      <c r="A22" s="2"/>
      <c r="B22" s="29" t="s">
        <v>18</v>
      </c>
      <c r="C22" s="29"/>
      <c r="D22" s="30">
        <f>SUBTOTAL(109,D6:D21)</f>
        <v>4660766.26</v>
      </c>
      <c r="E22" s="5">
        <f ca="1">'ارصدة البنوك'!$D22+(10^-6)*ROW('ارصدة البنوك'!$D22)</f>
        <v>4660766.2600219995</v>
      </c>
      <c r="F22" s="2"/>
    </row>
    <row r="23" spans="1:6" ht="19.5" customHeight="1" thickTop="1">
      <c r="A23" s="2"/>
      <c r="B23" s="8" t="s">
        <v>21</v>
      </c>
      <c r="C23" s="8"/>
      <c r="D23" s="9"/>
      <c r="E23" s="5">
        <f ca="1">'ارصدة البنوك'!$D23+(10^-6)*ROW('ارصدة البنوك'!$D23)</f>
        <v>2.3E-5</v>
      </c>
      <c r="F23" s="2"/>
    </row>
    <row r="24" spans="1:6" ht="19.5" customHeight="1">
      <c r="A24" s="2"/>
      <c r="B24" s="10">
        <v>402000</v>
      </c>
      <c r="C24" s="10" t="s">
        <v>40</v>
      </c>
      <c r="D24" s="9">
        <v>6856</v>
      </c>
      <c r="E24" s="5">
        <f ca="1">'ارصدة البنوك'!$D24+(10^-6)*ROW('ارصدة البنوك'!$D24)</f>
        <v>6856.0000239999999</v>
      </c>
      <c r="F24" s="2"/>
    </row>
    <row r="25" spans="1:6" ht="19.5" customHeight="1">
      <c r="A25" s="2"/>
      <c r="B25" s="10">
        <v>402001</v>
      </c>
      <c r="C25" s="10" t="s">
        <v>41</v>
      </c>
      <c r="D25" s="9">
        <v>76609.960000000006</v>
      </c>
      <c r="E25" s="5">
        <f ca="1">'ارصدة البنوك'!$D25+(10^-6)*ROW('ارصدة البنوك'!$D25)</f>
        <v>76609.960025000008</v>
      </c>
      <c r="F25" s="2"/>
    </row>
    <row r="26" spans="1:6" ht="19.5" customHeight="1" thickBot="1">
      <c r="A26" s="2"/>
      <c r="B26" s="10">
        <v>402002</v>
      </c>
      <c r="C26" s="10" t="s">
        <v>35</v>
      </c>
      <c r="D26" s="9">
        <v>616016.39</v>
      </c>
      <c r="E26" s="5">
        <f ca="1">'ارصدة البنوك'!$D26+(10^-6)*ROW('ارصدة البنوك'!$D26)</f>
        <v>616016.39002599998</v>
      </c>
      <c r="F26" s="2"/>
    </row>
    <row r="27" spans="1:6" ht="19.5" customHeight="1" thickTop="1" thickBot="1">
      <c r="A27" s="2"/>
      <c r="B27" s="29" t="s">
        <v>188</v>
      </c>
      <c r="C27" s="29"/>
      <c r="D27" s="30">
        <f>SUBTOTAL(109,D24:D26)</f>
        <v>699482.35</v>
      </c>
      <c r="E27" s="5">
        <f ca="1">'ارصدة البنوك'!$D27+(10^-6)*ROW('ارصدة البنوك'!$D27)</f>
        <v>699482.35002699995</v>
      </c>
      <c r="F27" s="2"/>
    </row>
    <row r="28" spans="1:6" ht="19.5" customHeight="1" thickTop="1">
      <c r="A28" s="2"/>
      <c r="B28" s="8" t="s">
        <v>22</v>
      </c>
      <c r="C28" s="10"/>
      <c r="D28" s="9"/>
      <c r="E28" s="5">
        <f ca="1">'ارصدة البنوك'!$D28+(10^-6)*ROW('ارصدة البنوك'!$D28)</f>
        <v>2.8E-5</v>
      </c>
      <c r="F28" s="2"/>
    </row>
    <row r="29" spans="1:6" ht="19.5" customHeight="1">
      <c r="A29" s="2"/>
      <c r="B29" s="10">
        <v>220299</v>
      </c>
      <c r="C29" s="10" t="s">
        <v>26</v>
      </c>
      <c r="D29" s="9">
        <v>100</v>
      </c>
      <c r="E29" s="5">
        <f ca="1">'ارصدة البنوك'!$D29+(10^-6)*ROW('ارصدة البنوك'!$D29)</f>
        <v>100.000029</v>
      </c>
      <c r="F29" s="2"/>
    </row>
    <row r="30" spans="1:6" ht="19.5" customHeight="1">
      <c r="A30" s="2"/>
      <c r="B30" s="10">
        <v>168550</v>
      </c>
      <c r="C30" s="10" t="s">
        <v>26</v>
      </c>
      <c r="D30" s="9">
        <v>137.5</v>
      </c>
      <c r="E30" s="5">
        <f ca="1">'ارصدة البنوك'!$D30+(10^-6)*ROW('ارصدة البنوك'!$D30)</f>
        <v>137.50003000000001</v>
      </c>
      <c r="F30" s="2"/>
    </row>
    <row r="31" spans="1:6" ht="19.5" customHeight="1">
      <c r="A31" s="2"/>
      <c r="B31" s="10">
        <v>6942</v>
      </c>
      <c r="C31" s="10" t="s">
        <v>26</v>
      </c>
      <c r="D31" s="9">
        <v>49.66</v>
      </c>
      <c r="E31" s="5">
        <f ca="1">'ارصدة البنوك'!$D31+(10^-6)*ROW('ارصدة البنوك'!$D31)</f>
        <v>49.660030999999996</v>
      </c>
      <c r="F31" s="2"/>
    </row>
    <row r="32" spans="1:6" ht="19.5" customHeight="1">
      <c r="A32" s="2"/>
      <c r="B32" s="10">
        <v>23055</v>
      </c>
      <c r="C32" s="10" t="s">
        <v>26</v>
      </c>
      <c r="D32" s="9">
        <v>100</v>
      </c>
      <c r="E32" s="5">
        <f ca="1">'ارصدة البنوك'!$D32+(10^-6)*ROW('ارصدة البنوك'!$D32)</f>
        <v>100.000032</v>
      </c>
      <c r="F32" s="2"/>
    </row>
    <row r="33" spans="1:6" ht="19.5" customHeight="1" thickBot="1">
      <c r="A33" s="2"/>
      <c r="B33" s="10">
        <v>5465</v>
      </c>
      <c r="C33" s="10" t="s">
        <v>40</v>
      </c>
      <c r="D33" s="9">
        <v>41335.93</v>
      </c>
      <c r="E33" s="5">
        <f ca="1">'ارصدة البنوك'!$D33+(10^-6)*ROW('ارصدة البنوك'!$D33)</f>
        <v>41335.930032999997</v>
      </c>
      <c r="F33" s="2"/>
    </row>
    <row r="34" spans="1:6" ht="19.5" customHeight="1" thickTop="1" thickBot="1">
      <c r="A34" s="2"/>
      <c r="B34" s="29" t="s">
        <v>188</v>
      </c>
      <c r="C34" s="29"/>
      <c r="D34" s="30">
        <f>SUBTOTAL(109,D29:D33)</f>
        <v>41723.090000000004</v>
      </c>
      <c r="E34" s="5">
        <f ca="1">'ارصدة البنوك'!$D34+(10^-6)*ROW('ارصدة البنوك'!$D34)</f>
        <v>41723.090034000001</v>
      </c>
      <c r="F34" s="2"/>
    </row>
    <row r="35" spans="1:6" ht="19.5" customHeight="1" thickTop="1">
      <c r="A35" s="2"/>
      <c r="B35" s="8" t="s">
        <v>23</v>
      </c>
      <c r="C35" s="10"/>
      <c r="D35" s="9"/>
      <c r="E35" s="5">
        <f ca="1">'ارصدة البنوك'!$D35+(10^-6)*ROW('ارصدة البنوك'!$D35)</f>
        <v>3.4999999999999997E-5</v>
      </c>
      <c r="F35" s="2"/>
    </row>
    <row r="36" spans="1:6" ht="19.5" customHeight="1">
      <c r="A36" s="2"/>
      <c r="B36" s="10">
        <v>6000110</v>
      </c>
      <c r="C36" s="10" t="s">
        <v>40</v>
      </c>
      <c r="D36" s="9">
        <v>12257.52</v>
      </c>
      <c r="E36" s="5">
        <f ca="1">'ارصدة البنوك'!$D36+(10^-6)*ROW('ارصدة البنوك'!$D36)</f>
        <v>12257.520036</v>
      </c>
      <c r="F36" s="2"/>
    </row>
    <row r="37" spans="1:6" ht="19.5" customHeight="1" thickBot="1">
      <c r="A37" s="2"/>
      <c r="B37" s="10">
        <v>6000106</v>
      </c>
      <c r="C37" s="10" t="s">
        <v>40</v>
      </c>
      <c r="D37" s="9">
        <v>369003.92</v>
      </c>
      <c r="E37" s="5">
        <f ca="1">'ارصدة البنوك'!$D37+(10^-6)*ROW('ارصدة البنوك'!$D37)</f>
        <v>369003.92003699997</v>
      </c>
      <c r="F37" s="2"/>
    </row>
    <row r="38" spans="1:6" ht="19.5" customHeight="1" thickTop="1" thickBot="1">
      <c r="A38" s="2"/>
      <c r="B38" s="29" t="s">
        <v>188</v>
      </c>
      <c r="C38" s="29"/>
      <c r="D38" s="30">
        <f>SUBTOTAL(109,D36:D37)</f>
        <v>381261.44</v>
      </c>
      <c r="E38" s="5">
        <f ca="1">'ارصدة البنوك'!$D38+(10^-6)*ROW('ارصدة البنوك'!$D38)</f>
        <v>381261.440038</v>
      </c>
      <c r="F38" s="2"/>
    </row>
    <row r="39" spans="1:6" ht="19.5" customHeight="1" thickTop="1">
      <c r="A39" s="2"/>
      <c r="B39" s="8" t="s">
        <v>24</v>
      </c>
      <c r="C39" s="10"/>
      <c r="D39" s="9"/>
      <c r="E39" s="5">
        <f ca="1">'ارصدة البنوك'!$D39+(10^-6)*ROW('ارصدة البنوك'!$D39)</f>
        <v>3.8999999999999999E-5</v>
      </c>
      <c r="F39" s="2"/>
    </row>
    <row r="40" spans="1:6" ht="19.5" customHeight="1" thickBot="1">
      <c r="A40" s="2"/>
      <c r="B40" s="10">
        <v>1107000386</v>
      </c>
      <c r="C40" s="10" t="s">
        <v>40</v>
      </c>
      <c r="D40" s="9">
        <v>0</v>
      </c>
      <c r="E40" s="5">
        <f ca="1">'ارصدة البنوك'!$D40+(10^-6)*ROW('ارصدة البنوك'!$D40)</f>
        <v>3.9999999999999996E-5</v>
      </c>
      <c r="F40" s="2"/>
    </row>
    <row r="41" spans="1:6" ht="19.5" customHeight="1" thickTop="1" thickBot="1">
      <c r="A41" s="2"/>
      <c r="B41" s="29" t="s">
        <v>188</v>
      </c>
      <c r="C41" s="26"/>
      <c r="D41" s="27">
        <f>SUBTOTAL(109,D40)</f>
        <v>0</v>
      </c>
      <c r="E41" s="5">
        <f ca="1">'ارصدة البنوك'!$D41+(10^-6)*ROW('ارصدة البنوك'!$D41)</f>
        <v>4.1E-5</v>
      </c>
      <c r="F41" s="2"/>
    </row>
    <row r="42" spans="1:6" ht="19.5" customHeight="1" thickTop="1">
      <c r="A42" s="2"/>
      <c r="B42" s="8" t="s">
        <v>25</v>
      </c>
      <c r="C42" s="10"/>
      <c r="D42" s="9"/>
      <c r="E42" s="5">
        <f ca="1">'ارصدة البنوك'!$D42+(10^-6)*ROW('ارصدة البنوك'!$D42)</f>
        <v>4.1999999999999998E-5</v>
      </c>
      <c r="F42" s="2"/>
    </row>
    <row r="43" spans="1:6" ht="19.5" customHeight="1" thickBot="1">
      <c r="A43" s="2"/>
      <c r="B43" s="10">
        <v>15117900</v>
      </c>
      <c r="C43" s="10" t="s">
        <v>40</v>
      </c>
      <c r="D43" s="9">
        <v>367493.73</v>
      </c>
      <c r="E43" s="5">
        <f ca="1">'ارصدة البنوك'!$D43+(10^-6)*ROW('ارصدة البنوك'!$D43)</f>
        <v>367493.73004299996</v>
      </c>
      <c r="F43" s="2"/>
    </row>
    <row r="44" spans="1:6" ht="19.5" customHeight="1" thickTop="1" thickBot="1">
      <c r="A44" s="2"/>
      <c r="B44" s="29" t="s">
        <v>188</v>
      </c>
      <c r="C44" s="29"/>
      <c r="D44" s="30">
        <f>SUBTOTAL(109,D43)</f>
        <v>367493.73</v>
      </c>
      <c r="E44" s="5">
        <f ca="1">'ارصدة البنوك'!$D44+(10^-6)*ROW('ارصدة البنوك'!$D44)</f>
        <v>367493.73004399997</v>
      </c>
      <c r="F44" s="2"/>
    </row>
    <row r="45" spans="1:6" ht="12.75" customHeight="1" thickTop="1" thickBot="1">
      <c r="A45" s="2"/>
      <c r="B45" s="33"/>
      <c r="C45" s="33"/>
      <c r="D45" s="34"/>
      <c r="E45" s="5">
        <f ca="1">'ارصدة البنوك'!$D45+(10^-6)*ROW('ارصدة البنوك'!$D45)</f>
        <v>4.4999999999999996E-5</v>
      </c>
      <c r="F45" s="2"/>
    </row>
    <row r="46" spans="1:6" ht="30" customHeight="1" thickTop="1" thickBot="1">
      <c r="A46" s="2"/>
      <c r="B46" s="35" t="s">
        <v>18</v>
      </c>
      <c r="C46" s="35"/>
      <c r="D46" s="36">
        <f>D22+D27+D34+D38+D41+D44</f>
        <v>6150726.8699999992</v>
      </c>
      <c r="E46" s="28"/>
      <c r="F46" s="2"/>
    </row>
    <row r="47" spans="1:6" ht="30" customHeight="1" thickTop="1"/>
  </sheetData>
  <sheetProtection insertColumns="0" insertRows="0" deleteColumns="0" deleteRows="0" selectLockedCells="1" autoFilter="0"/>
  <dataConsolidate/>
  <mergeCells count="2">
    <mergeCell ref="B1:F1"/>
    <mergeCell ref="B2:F2"/>
  </mergeCells>
  <phoneticPr fontId="0" type="noConversion"/>
  <dataValidations count="5">
    <dataValidation allowBlank="1" showInputMessage="1" showErrorMessage="1" prompt="أدخل المبلغ &quot;الفعلي&quot; في هذا العمود أسفل هذا العنوان" sqref="D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C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C2"/>
    <dataValidation allowBlank="1" showInputMessage="1" showErrorMessage="1" prompt="يتم تحديث &quot;اسم الشركة&quot; تلقائياً في هذه الخلية" sqref="B1:C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rowBreaks count="1" manualBreakCount="1">
    <brk id="22" max="5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G49"/>
  <sheetViews>
    <sheetView showGridLines="0" rightToLeft="1" view="pageBreakPreview" topLeftCell="A27" zoomScale="60" zoomScaleNormal="100" workbookViewId="0">
      <selection activeCell="D6" sqref="D6"/>
    </sheetView>
  </sheetViews>
  <sheetFormatPr defaultColWidth="8.875" defaultRowHeight="30" customHeight="1"/>
  <cols>
    <col min="1" max="1" width="4" style="1" customWidth="1"/>
    <col min="2" max="2" width="37.125" style="1" customWidth="1"/>
    <col min="3" max="3" width="17" style="1" customWidth="1"/>
    <col min="4" max="4" width="19.125" style="1" customWidth="1"/>
    <col min="5" max="5" width="20.375" style="1" customWidth="1"/>
    <col min="6" max="6" width="21.875" style="1" hidden="1" customWidth="1"/>
    <col min="7" max="7" width="4" style="1" customWidth="1"/>
    <col min="8" max="8" width="4" customWidth="1"/>
  </cols>
  <sheetData>
    <row r="1" spans="1:7" ht="20.25" customHeight="1">
      <c r="A1" s="2"/>
      <c r="B1" s="42" t="s">
        <v>187</v>
      </c>
      <c r="C1" s="42"/>
      <c r="D1" s="42"/>
      <c r="E1" s="42"/>
      <c r="F1" s="42"/>
      <c r="G1" s="42"/>
    </row>
    <row r="2" spans="1:7" ht="21.75" customHeight="1">
      <c r="A2" s="2"/>
      <c r="B2" s="40" t="s">
        <v>3</v>
      </c>
      <c r="C2" s="40"/>
      <c r="D2" s="40"/>
      <c r="E2" s="41"/>
      <c r="F2" s="41"/>
      <c r="G2" s="41"/>
    </row>
    <row r="3" spans="1:7" ht="15" customHeight="1">
      <c r="A3" s="2"/>
      <c r="B3" s="2"/>
      <c r="C3" s="2"/>
      <c r="D3" s="2"/>
      <c r="E3" s="2"/>
      <c r="F3" s="2"/>
      <c r="G3" s="2"/>
    </row>
    <row r="4" spans="1:7" ht="30" customHeight="1">
      <c r="A4" s="2"/>
      <c r="B4" s="7" t="s">
        <v>3</v>
      </c>
      <c r="C4" s="7" t="s">
        <v>64</v>
      </c>
      <c r="D4" s="7" t="s">
        <v>65</v>
      </c>
      <c r="E4" s="6" t="s">
        <v>66</v>
      </c>
      <c r="F4" s="3" t="s">
        <v>2</v>
      </c>
      <c r="G4" s="2"/>
    </row>
    <row r="5" spans="1:7" ht="20.25" customHeight="1">
      <c r="A5" s="2"/>
      <c r="B5" s="10" t="s">
        <v>52</v>
      </c>
      <c r="C5" s="10">
        <f>11576+1505+102518+108505+126473+126472+126472+126472+118294+4600+119989+3000+6000+118991</f>
        <v>1100867</v>
      </c>
      <c r="D5" s="10">
        <f>11600+1500+1500+1500+14666+25787+14600+15255+16216+29576+30884+30930+16216+16216+16216+16216+15330+20000+30251+21259+20000+25815</f>
        <v>391533</v>
      </c>
      <c r="E5" s="9">
        <f ca="1">'المصروفات التشغيلية'!$C5+'المصروفات التشغيلية'!$D5</f>
        <v>1492400</v>
      </c>
      <c r="F5" s="5">
        <f ca="1">'المصروفات التشغيلية'!$E5+(10^-6)*ROW('المصروفات التشغيلية'!$E5)</f>
        <v>1492400.000005</v>
      </c>
      <c r="G5" s="2"/>
    </row>
    <row r="6" spans="1:7" ht="20.25" customHeight="1">
      <c r="A6" s="2"/>
      <c r="B6" s="10" t="s">
        <v>53</v>
      </c>
      <c r="C6" s="10">
        <f>1300+251+14163+14539+16090+16090+16090+16090+15040+15166+15166</f>
        <v>139985</v>
      </c>
      <c r="D6" s="10">
        <f>2127+2127+2127+2127+2127+2127+2127+2001+1543</f>
        <v>18433</v>
      </c>
      <c r="E6" s="9">
        <f ca="1">'المصروفات التشغيلية'!$C6+'المصروفات التشغيلية'!$D6</f>
        <v>158418</v>
      </c>
      <c r="F6" s="5">
        <f ca="1">'المصروفات التشغيلية'!$E6+(10^-6)*ROW('المصروفات التشغيلية'!$E6)</f>
        <v>158418.00000599999</v>
      </c>
      <c r="G6" s="2"/>
    </row>
    <row r="7" spans="1:7" ht="20.25" customHeight="1">
      <c r="A7" s="2"/>
      <c r="B7" s="10" t="s">
        <v>54</v>
      </c>
      <c r="C7" s="10">
        <f>600+120+6350+6530+7250+7250+7250+7250+6850+6850+6850</f>
        <v>63150</v>
      </c>
      <c r="D7" s="10">
        <f>1050+1050+1050+1050+1050+1050+1050+1050+800</f>
        <v>9200</v>
      </c>
      <c r="E7" s="9">
        <f ca="1">'المصروفات التشغيلية'!$C7+'المصروفات التشغيلية'!$D7</f>
        <v>72350</v>
      </c>
      <c r="F7" s="5">
        <f ca="1">'المصروفات التشغيلية'!$E7+(10^-6)*ROW('المصروفات التشغيلية'!$E7)</f>
        <v>72350.000006999995</v>
      </c>
      <c r="G7" s="2"/>
    </row>
    <row r="8" spans="1:7" ht="20.25" customHeight="1">
      <c r="A8" s="2"/>
      <c r="B8" s="10" t="s">
        <v>55</v>
      </c>
      <c r="C8" s="10">
        <f>250+100+5450+5650+5950+5950+5950+5950+5700+5700+5700</f>
        <v>52350</v>
      </c>
      <c r="D8" s="10">
        <f>800+957+1592+1100+1100+1100+1000+1000+1000+1100+1100+1100+1100+1000+2100+1750</f>
        <v>18899</v>
      </c>
      <c r="E8" s="9">
        <f ca="1">'المصروفات التشغيلية'!$C8+'المصروفات التشغيلية'!$D8</f>
        <v>71249</v>
      </c>
      <c r="F8" s="5">
        <f ca="1">'المصروفات التشغيلية'!$E8+(10^-6)*ROW('المصروفات التشغيلية'!$E8)</f>
        <v>71249.000008000003</v>
      </c>
      <c r="G8" s="2"/>
    </row>
    <row r="9" spans="1:7" ht="20.25" customHeight="1">
      <c r="A9" s="2"/>
      <c r="B9" s="10" t="s">
        <v>56</v>
      </c>
      <c r="C9" s="10">
        <f>2235+125+885</f>
        <v>3245</v>
      </c>
      <c r="D9" s="10">
        <f>398+380+951+2211+2215+96+1450+15451+4126+50+4396+4703+100+342+121</f>
        <v>36990</v>
      </c>
      <c r="E9" s="9">
        <f ca="1">'المصروفات التشغيلية'!$C9+'المصروفات التشغيلية'!$D9</f>
        <v>40235</v>
      </c>
      <c r="F9" s="5">
        <f ca="1">'المصروفات التشغيلية'!$E9+(10^-6)*ROW('المصروفات التشغيلية'!$E9)</f>
        <v>40235.000009000003</v>
      </c>
      <c r="G9" s="2"/>
    </row>
    <row r="10" spans="1:7" ht="20.25" customHeight="1">
      <c r="A10" s="2"/>
      <c r="B10" s="10" t="s">
        <v>57</v>
      </c>
      <c r="C10" s="10">
        <f>3505.04+9798.74+16523.7+16526.5+10852.62+5409.08+5729.64+11543.37+21903</f>
        <v>101791.69</v>
      </c>
      <c r="D10" s="10">
        <f>1406+1569+4707+1569+1569+1427</f>
        <v>12247</v>
      </c>
      <c r="E10" s="9">
        <f ca="1">'المصروفات التشغيلية'!$C10+'المصروفات التشغيلية'!$D10</f>
        <v>114038.69</v>
      </c>
      <c r="F10" s="5">
        <f ca="1">'المصروفات التشغيلية'!$E10+(10^-6)*ROW('المصروفات التشغيلية'!$E10)</f>
        <v>114038.69001000001</v>
      </c>
      <c r="G10" s="2"/>
    </row>
    <row r="11" spans="1:7" ht="20.25" customHeight="1">
      <c r="A11" s="2"/>
      <c r="B11" s="10" t="s">
        <v>58</v>
      </c>
      <c r="C11" s="10">
        <f>1233+159+2650</f>
        <v>4042</v>
      </c>
      <c r="D11" s="10">
        <v>0</v>
      </c>
      <c r="E11" s="9">
        <f ca="1">'المصروفات التشغيلية'!$C11+'المصروفات التشغيلية'!$D11</f>
        <v>4042</v>
      </c>
      <c r="F11" s="5">
        <f ca="1">'المصروفات التشغيلية'!$E11+(10^-6)*ROW('المصروفات التشغيلية'!$E11)</f>
        <v>4042.0000110000001</v>
      </c>
      <c r="G11" s="2"/>
    </row>
    <row r="12" spans="1:7" ht="20.25" customHeight="1">
      <c r="A12" s="2"/>
      <c r="B12" s="10" t="s">
        <v>74</v>
      </c>
      <c r="C12" s="10">
        <f>24325.63+58873.8+24325.63</f>
        <v>107525.06000000001</v>
      </c>
      <c r="D12" s="10">
        <f>6172.5+152+822+302+1005+556+230+11967.19+6172.62+98+116</f>
        <v>27593.31</v>
      </c>
      <c r="E12" s="9">
        <f ca="1">'المصروفات التشغيلية'!$C12+'المصروفات التشغيلية'!$D12</f>
        <v>135118.37000000002</v>
      </c>
      <c r="F12" s="5">
        <f ca="1">'المصروفات التشغيلية'!$E12+(10^-6)*ROW('المصروفات التشغيلية'!$E12)</f>
        <v>135118.37001200003</v>
      </c>
      <c r="G12" s="2"/>
    </row>
    <row r="13" spans="1:7" ht="20.25" customHeight="1">
      <c r="A13" s="2"/>
      <c r="B13" s="10" t="s">
        <v>59</v>
      </c>
      <c r="C13" s="10"/>
      <c r="D13" s="10">
        <f>2336+2322+2320+726</f>
        <v>7704</v>
      </c>
      <c r="E13" s="9">
        <f ca="1">'المصروفات التشغيلية'!$C13+'المصروفات التشغيلية'!$D13</f>
        <v>7704</v>
      </c>
      <c r="F13" s="5">
        <f ca="1">'المصروفات التشغيلية'!$E13+(10^-6)*ROW('المصروفات التشغيلية'!$E13)</f>
        <v>7704.0000129999999</v>
      </c>
      <c r="G13" s="2"/>
    </row>
    <row r="14" spans="1:7" ht="20.25" customHeight="1">
      <c r="A14" s="2"/>
      <c r="B14" s="10" t="s">
        <v>75</v>
      </c>
      <c r="C14" s="10">
        <f>5050+5891+1050+1050+1050+1850+1050+2050+2050</f>
        <v>21091</v>
      </c>
      <c r="D14" s="10">
        <f>4000+1507+1000+1000+1000+1000+1000+750+1701</f>
        <v>12958</v>
      </c>
      <c r="E14" s="9">
        <f ca="1">'المصروفات التشغيلية'!$C14+'المصروفات التشغيلية'!$D14</f>
        <v>34049</v>
      </c>
      <c r="F14" s="5">
        <f ca="1">'المصروفات التشغيلية'!$E14+(10^-6)*ROW('المصروفات التشغيلية'!$E14)</f>
        <v>34049.000013999997</v>
      </c>
      <c r="G14" s="2"/>
    </row>
    <row r="15" spans="1:7" ht="20.25" customHeight="1">
      <c r="A15" s="2"/>
      <c r="B15" s="10" t="s">
        <v>62</v>
      </c>
      <c r="C15" s="10">
        <f>2250</f>
        <v>2250</v>
      </c>
      <c r="D15" s="10">
        <v>0</v>
      </c>
      <c r="E15" s="9">
        <f ca="1">'المصروفات التشغيلية'!$C15+'المصروفات التشغيلية'!$D15</f>
        <v>2250</v>
      </c>
      <c r="F15" s="5">
        <f ca="1">'المصروفات التشغيلية'!$E15+(10^-6)*ROW('المصروفات التشغيلية'!$E15)</f>
        <v>2250.0000150000001</v>
      </c>
      <c r="G15" s="2"/>
    </row>
    <row r="16" spans="1:7" ht="20.25" customHeight="1">
      <c r="A16" s="2"/>
      <c r="B16" s="10" t="s">
        <v>165</v>
      </c>
      <c r="C16" s="20">
        <f>10000+30000</f>
        <v>40000</v>
      </c>
      <c r="D16" s="21">
        <v>0</v>
      </c>
      <c r="E16" s="22">
        <f ca="1">'المصروفات التشغيلية'!$C16+'المصروفات التشغيلية'!$D16</f>
        <v>40000</v>
      </c>
      <c r="F16" s="5">
        <f ca="1">'المصروفات التشغيلية'!$E16+(10^-6)*ROW('المصروفات التشغيلية'!$E16)</f>
        <v>40000.000015999998</v>
      </c>
      <c r="G16" s="2"/>
    </row>
    <row r="17" spans="1:7" ht="20.25" customHeight="1">
      <c r="A17" s="2"/>
      <c r="B17" s="10" t="s">
        <v>166</v>
      </c>
      <c r="C17" s="20">
        <f>4600</f>
        <v>4600</v>
      </c>
      <c r="D17" s="21">
        <v>0</v>
      </c>
      <c r="E17" s="22">
        <f ca="1">'المصروفات التشغيلية'!$C17+'المصروفات التشغيلية'!$D17</f>
        <v>4600</v>
      </c>
      <c r="F17" s="5">
        <f ca="1">'المصروفات التشغيلية'!$E17+(10^-6)*ROW('المصروفات التشغيلية'!$E17)</f>
        <v>4600.0000170000003</v>
      </c>
      <c r="G17" s="2"/>
    </row>
    <row r="18" spans="1:7" ht="20.25" customHeight="1">
      <c r="A18" s="2"/>
      <c r="B18" s="10" t="s">
        <v>61</v>
      </c>
      <c r="C18" s="10">
        <v>0</v>
      </c>
      <c r="D18" s="10">
        <f>2583+2136+7875+2625+2875+2875</f>
        <v>20969</v>
      </c>
      <c r="E18" s="9">
        <f ca="1">'المصروفات التشغيلية'!$C18+'المصروفات التشغيلية'!$D18</f>
        <v>20969</v>
      </c>
      <c r="F18" s="5">
        <f ca="1">'المصروفات التشغيلية'!$E18+(10^-6)*ROW('المصروفات التشغيلية'!$E18)</f>
        <v>20969.000017999999</v>
      </c>
      <c r="G18" s="2"/>
    </row>
    <row r="19" spans="1:7" ht="20.25" customHeight="1">
      <c r="A19" s="2"/>
      <c r="B19" s="10" t="s">
        <v>116</v>
      </c>
      <c r="C19" s="10">
        <v>0</v>
      </c>
      <c r="D19" s="10">
        <f>420+700+420+1220+920+560+800</f>
        <v>5040</v>
      </c>
      <c r="E19" s="9">
        <f ca="1">'المصروفات التشغيلية'!$C19+'المصروفات التشغيلية'!$D19</f>
        <v>5040</v>
      </c>
      <c r="F19" s="5">
        <f ca="1">'المصروفات التشغيلية'!$E19+(10^-6)*ROW('المصروفات التشغيلية'!$E19)</f>
        <v>5040.0000190000001</v>
      </c>
      <c r="G19" s="2"/>
    </row>
    <row r="20" spans="1:7" ht="20.25" customHeight="1">
      <c r="A20" s="2"/>
      <c r="B20" s="10" t="s">
        <v>115</v>
      </c>
      <c r="C20" s="10">
        <f>1227+1589.12+2818.81+61.7+3465.48+1876.06</f>
        <v>11038.17</v>
      </c>
      <c r="D20" s="10">
        <f>3178.88+3891.19+2197.3+3988.52+9746.94</f>
        <v>23002.83</v>
      </c>
      <c r="E20" s="9">
        <f ca="1">'المصروفات التشغيلية'!$C20+'المصروفات التشغيلية'!$D20</f>
        <v>34041</v>
      </c>
      <c r="F20" s="5">
        <f ca="1">'المصروفات التشغيلية'!$E20+(10^-6)*ROW('المصروفات التشغيلية'!$E20)</f>
        <v>34041.000019999999</v>
      </c>
      <c r="G20" s="2"/>
    </row>
    <row r="21" spans="1:7" ht="20.25" customHeight="1">
      <c r="A21" s="2"/>
      <c r="B21" s="10" t="s">
        <v>113</v>
      </c>
      <c r="C21" s="10">
        <f>323+105+2322+428+1091+210+2158+539+2211.5+464+1432+1085.67</f>
        <v>12369.17</v>
      </c>
      <c r="D21" s="10">
        <f>484+399+283+465+136+1930+268+157.5+630+463.5+1005+904+330.33</f>
        <v>7455.33</v>
      </c>
      <c r="E21" s="9">
        <f ca="1">'المصروفات التشغيلية'!$C21+'المصروفات التشغيلية'!$D21</f>
        <v>19824.5</v>
      </c>
      <c r="F21" s="5">
        <f ca="1">'المصروفات التشغيلية'!$E21+(10^-6)*ROW('المصروفات التشغيلية'!$E21)</f>
        <v>19824.500021</v>
      </c>
      <c r="G21" s="2"/>
    </row>
    <row r="22" spans="1:7" ht="20.25" customHeight="1">
      <c r="A22" s="2"/>
      <c r="B22" s="10" t="s">
        <v>114</v>
      </c>
      <c r="C22" s="10">
        <f>32+810</f>
        <v>842</v>
      </c>
      <c r="D22" s="10">
        <v>0</v>
      </c>
      <c r="E22" s="9">
        <f ca="1">'المصروفات التشغيلية'!$C22+'المصروفات التشغيلية'!$D22</f>
        <v>842</v>
      </c>
      <c r="F22" s="5">
        <f ca="1">'المصروفات التشغيلية'!$E22+(10^-6)*ROW('المصروفات التشغيلية'!$E22)</f>
        <v>842.00002199999994</v>
      </c>
      <c r="G22" s="2"/>
    </row>
    <row r="23" spans="1:7" ht="20.25" customHeight="1">
      <c r="A23" s="2"/>
      <c r="B23" s="10" t="s">
        <v>119</v>
      </c>
      <c r="C23" s="10">
        <f>1183</f>
        <v>1183</v>
      </c>
      <c r="D23" s="10">
        <f>840+542+2574+320+1600+640+2846</f>
        <v>9362</v>
      </c>
      <c r="E23" s="9">
        <f ca="1">'المصروفات التشغيلية'!$C23+'المصروفات التشغيلية'!$D23</f>
        <v>10545</v>
      </c>
      <c r="F23" s="5">
        <f ca="1">'المصروفات التشغيلية'!$E23+(10^-6)*ROW('المصروفات التشغيلية'!$E23)</f>
        <v>10545.000023000001</v>
      </c>
      <c r="G23" s="2"/>
    </row>
    <row r="24" spans="1:7" ht="20.25" customHeight="1">
      <c r="A24" s="2"/>
      <c r="B24" s="10" t="s">
        <v>164</v>
      </c>
      <c r="C24" s="20">
        <f>780</f>
        <v>780</v>
      </c>
      <c r="D24" s="21">
        <v>0</v>
      </c>
      <c r="E24" s="22">
        <f ca="1">'المصروفات التشغيلية'!$C24+'المصروفات التشغيلية'!$D24</f>
        <v>780</v>
      </c>
      <c r="F24" s="5">
        <f ca="1">'المصروفات التشغيلية'!$E24+(10^-6)*ROW('المصروفات التشغيلية'!$E24)</f>
        <v>780.00002400000005</v>
      </c>
      <c r="G24" s="2"/>
    </row>
    <row r="25" spans="1:7" ht="20.25" customHeight="1">
      <c r="A25" s="2"/>
      <c r="B25" s="10" t="s">
        <v>118</v>
      </c>
      <c r="C25" s="10">
        <f>228+2990+354+420</f>
        <v>3992</v>
      </c>
      <c r="D25" s="10">
        <v>1077</v>
      </c>
      <c r="E25" s="9">
        <f ca="1">'المصروفات التشغيلية'!$C25+'المصروفات التشغيلية'!$D25</f>
        <v>5069</v>
      </c>
      <c r="F25" s="5">
        <f ca="1">'المصروفات التشغيلية'!$E25+(10^-6)*ROW('المصروفات التشغيلية'!$E25)</f>
        <v>5069.0000250000003</v>
      </c>
      <c r="G25" s="2"/>
    </row>
    <row r="26" spans="1:7" ht="22.5" customHeight="1">
      <c r="A26" s="2"/>
      <c r="B26" s="10" t="s">
        <v>117</v>
      </c>
      <c r="C26" s="10">
        <f>255+3900+397+450</f>
        <v>5002</v>
      </c>
      <c r="D26" s="10">
        <f>1400+2050+618+4290+1331+2041+15+1600</f>
        <v>13345</v>
      </c>
      <c r="E26" s="9">
        <f ca="1">'المصروفات التشغيلية'!$C26+'المصروفات التشغيلية'!$D26</f>
        <v>18347</v>
      </c>
      <c r="F26" s="5">
        <f ca="1">'المصروفات التشغيلية'!$E26+(10^-6)*ROW('المصروفات التشغيلية'!$E26)</f>
        <v>18347.000026000002</v>
      </c>
      <c r="G26" s="2"/>
    </row>
    <row r="27" spans="1:7" ht="22.5" customHeight="1">
      <c r="A27" s="2"/>
      <c r="B27" s="10" t="s">
        <v>130</v>
      </c>
      <c r="C27" s="10">
        <f>950+4820+550</f>
        <v>6320</v>
      </c>
      <c r="D27" s="10">
        <v>0</v>
      </c>
      <c r="E27" s="22">
        <f ca="1">'المصروفات التشغيلية'!$C27+'المصروفات التشغيلية'!$D27</f>
        <v>6320</v>
      </c>
      <c r="F27" s="5">
        <f ca="1">'المصروفات التشغيلية'!$E27+(10^-6)*ROW('المصروفات التشغيلية'!$E27)</f>
        <v>6320.000027</v>
      </c>
      <c r="G27" s="2"/>
    </row>
    <row r="28" spans="1:7" ht="22.5" customHeight="1">
      <c r="A28" s="2"/>
      <c r="B28" s="10" t="s">
        <v>76</v>
      </c>
      <c r="C28" s="10">
        <f>2820+1099+423+6200+988+692+1970+437</f>
        <v>14629</v>
      </c>
      <c r="D28" s="10">
        <f>386+850+50+230+310+725+75</f>
        <v>2626</v>
      </c>
      <c r="E28" s="9">
        <f ca="1">'المصروفات التشغيلية'!$C28+'المصروفات التشغيلية'!$D28</f>
        <v>17255</v>
      </c>
      <c r="F28" s="5">
        <f ca="1">'المصروفات التشغيلية'!$E28+(10^-6)*ROW('المصروفات التشغيلية'!$E28)</f>
        <v>17255.000027999999</v>
      </c>
      <c r="G28" s="2"/>
    </row>
    <row r="29" spans="1:7" ht="22.5" customHeight="1">
      <c r="A29" s="2"/>
      <c r="B29" s="10" t="s">
        <v>120</v>
      </c>
      <c r="C29" s="10">
        <f>46512.66</f>
        <v>46512.66</v>
      </c>
      <c r="D29" s="10">
        <v>0</v>
      </c>
      <c r="E29" s="9">
        <f ca="1">'المصروفات التشغيلية'!$C29+'المصروفات التشغيلية'!$D29</f>
        <v>46512.66</v>
      </c>
      <c r="F29" s="5">
        <f ca="1">'المصروفات التشغيلية'!$E29+(10^-6)*ROW('المصروفات التشغيلية'!$E29)</f>
        <v>46512.660029000006</v>
      </c>
      <c r="G29" s="2"/>
    </row>
    <row r="30" spans="1:7" ht="20.25" customHeight="1">
      <c r="A30" s="2"/>
      <c r="B30" s="10" t="s">
        <v>121</v>
      </c>
      <c r="C30" s="10">
        <f>1249</f>
        <v>1249</v>
      </c>
      <c r="D30" s="10">
        <v>0</v>
      </c>
      <c r="E30" s="9">
        <f ca="1">'المصروفات التشغيلية'!$C30+'المصروفات التشغيلية'!$D30</f>
        <v>1249</v>
      </c>
      <c r="F30" s="5">
        <f ca="1">'المصروفات التشغيلية'!$E30+(10^-6)*ROW('المصروفات التشغيلية'!$E30)</f>
        <v>1249.0000299999999</v>
      </c>
      <c r="G30" s="2"/>
    </row>
    <row r="31" spans="1:7" ht="20.25" customHeight="1">
      <c r="A31" s="2"/>
      <c r="B31" s="10" t="s">
        <v>60</v>
      </c>
      <c r="C31" s="10">
        <f>1339+1284+315+1026+798+1442+340</f>
        <v>6544</v>
      </c>
      <c r="D31" s="10">
        <f>163+226+265+607+307+995</f>
        <v>2563</v>
      </c>
      <c r="E31" s="9">
        <f ca="1">'المصروفات التشغيلية'!$C31+'المصروفات التشغيلية'!$D31</f>
        <v>9107</v>
      </c>
      <c r="F31" s="5">
        <f ca="1">'المصروفات التشغيلية'!$E31+(10^-6)*ROW('المصروفات التشغيلية'!$E31)</f>
        <v>9107.0000309999996</v>
      </c>
      <c r="G31" s="2"/>
    </row>
    <row r="32" spans="1:7" ht="20.25" customHeight="1">
      <c r="A32" s="2"/>
      <c r="B32" s="10" t="s">
        <v>77</v>
      </c>
      <c r="C32" s="10">
        <f>25000+1000+25000</f>
        <v>51000</v>
      </c>
      <c r="D32" s="10">
        <v>0</v>
      </c>
      <c r="E32" s="9">
        <f ca="1">'المصروفات التشغيلية'!$C32+'المصروفات التشغيلية'!$D32</f>
        <v>51000</v>
      </c>
      <c r="F32" s="5">
        <f ca="1">'المصروفات التشغيلية'!$E32+(10^-6)*ROW('المصروفات التشغيلية'!$E32)</f>
        <v>51000.000032000004</v>
      </c>
      <c r="G32" s="2"/>
    </row>
    <row r="33" spans="1:7" ht="20.25" customHeight="1">
      <c r="A33" s="2"/>
      <c r="B33" s="10" t="s">
        <v>63</v>
      </c>
      <c r="C33" s="10">
        <f>800+2000+1000+829</f>
        <v>4629</v>
      </c>
      <c r="D33" s="10">
        <f>800+385+135+1550+3838.5+775+1300</f>
        <v>8783.5</v>
      </c>
      <c r="E33" s="9">
        <f ca="1">'المصروفات التشغيلية'!$C33+'المصروفات التشغيلية'!$D33</f>
        <v>13412.5</v>
      </c>
      <c r="F33" s="5">
        <f ca="1">'المصروفات التشغيلية'!$E33+(10^-6)*ROW('المصروفات التشغيلية'!$E33)</f>
        <v>13412.500033</v>
      </c>
      <c r="G33" s="2"/>
    </row>
    <row r="34" spans="1:7" ht="20.25" customHeight="1">
      <c r="A34" s="2"/>
      <c r="B34" s="10" t="s">
        <v>161</v>
      </c>
      <c r="C34" s="20">
        <f>400</f>
        <v>400</v>
      </c>
      <c r="D34" s="21">
        <v>0</v>
      </c>
      <c r="E34" s="22">
        <f ca="1">'المصروفات التشغيلية'!$C34+'المصروفات التشغيلية'!$D34</f>
        <v>400</v>
      </c>
      <c r="F34" s="5">
        <f ca="1">'المصروفات التشغيلية'!$E34+(10^-6)*ROW('المصروفات التشغيلية'!$E34)</f>
        <v>400.00003400000003</v>
      </c>
      <c r="G34" s="2"/>
    </row>
    <row r="35" spans="1:7" ht="20.25" customHeight="1">
      <c r="A35" s="2"/>
      <c r="B35" s="10" t="s">
        <v>122</v>
      </c>
      <c r="C35" s="10">
        <f>500</f>
        <v>500</v>
      </c>
      <c r="D35" s="10">
        <v>0</v>
      </c>
      <c r="E35" s="9">
        <f ca="1">'المصروفات التشغيلية'!$C35+'المصروفات التشغيلية'!$D35</f>
        <v>500</v>
      </c>
      <c r="F35" s="5">
        <f ca="1">'المصروفات التشغيلية'!$E35+(10^-6)*ROW('المصروفات التشغيلية'!$E35)</f>
        <v>500.00003500000003</v>
      </c>
      <c r="G35" s="2"/>
    </row>
    <row r="36" spans="1:7" ht="20.25" customHeight="1">
      <c r="A36" s="2"/>
      <c r="B36" s="10" t="s">
        <v>167</v>
      </c>
      <c r="C36" s="20">
        <f>1000</f>
        <v>1000</v>
      </c>
      <c r="D36" s="21"/>
      <c r="E36" s="22">
        <f ca="1">'المصروفات التشغيلية'!$C36+'المصروفات التشغيلية'!$D36</f>
        <v>1000</v>
      </c>
      <c r="F36" s="5">
        <f ca="1">'المصروفات التشغيلية'!$E36+(10^-6)*ROW('المصروفات التشغيلية'!$E36)</f>
        <v>1000.000036</v>
      </c>
      <c r="G36" s="2"/>
    </row>
    <row r="37" spans="1:7" ht="20.25" customHeight="1">
      <c r="A37" s="2"/>
      <c r="B37" s="10" t="s">
        <v>123</v>
      </c>
      <c r="C37" s="10">
        <f>1470.7+168</f>
        <v>1638.7</v>
      </c>
      <c r="D37" s="10">
        <f>670+1486+2623+1021</f>
        <v>5800</v>
      </c>
      <c r="E37" s="9">
        <f ca="1">'المصروفات التشغيلية'!$C37+'المصروفات التشغيلية'!$D37</f>
        <v>7438.7</v>
      </c>
      <c r="F37" s="5">
        <f ca="1">'المصروفات التشغيلية'!$E37+(10^-6)*ROW('المصروفات التشغيلية'!$E37)</f>
        <v>7438.7000369999996</v>
      </c>
      <c r="G37" s="2"/>
    </row>
    <row r="38" spans="1:7" ht="20.25" customHeight="1">
      <c r="A38" s="2"/>
      <c r="B38" s="10" t="s">
        <v>124</v>
      </c>
      <c r="C38" s="10">
        <f>30649.98+840</f>
        <v>31489.98</v>
      </c>
      <c r="D38" s="10">
        <f>20486.66+40866.66+10216.67+10216.66+30776.65</f>
        <v>112563.30000000002</v>
      </c>
      <c r="E38" s="9">
        <f ca="1">'المصروفات التشغيلية'!$C38+'المصروفات التشغيلية'!$D38</f>
        <v>144053.28000000003</v>
      </c>
      <c r="F38" s="5">
        <f ca="1">'المصروفات التشغيلية'!$E38+(10^-6)*ROW('المصروفات التشغيلية'!$E38)</f>
        <v>144053.28003800003</v>
      </c>
      <c r="G38" s="2"/>
    </row>
    <row r="39" spans="1:7" ht="20.25" customHeight="1">
      <c r="A39" s="2"/>
      <c r="B39" s="10" t="s">
        <v>78</v>
      </c>
      <c r="C39" s="10">
        <v>0</v>
      </c>
      <c r="D39" s="10">
        <f>324+5879+494+400</f>
        <v>7097</v>
      </c>
      <c r="E39" s="9">
        <f ca="1">'المصروفات التشغيلية'!$C39+'المصروفات التشغيلية'!$D39</f>
        <v>7097</v>
      </c>
      <c r="F39" s="5">
        <f ca="1">'المصروفات التشغيلية'!$E39+(10^-6)*ROW('المصروفات التشغيلية'!$E39)</f>
        <v>7097.0000389999996</v>
      </c>
      <c r="G39" s="2"/>
    </row>
    <row r="40" spans="1:7" ht="20.25" customHeight="1">
      <c r="A40" s="2"/>
      <c r="B40" s="10" t="s">
        <v>125</v>
      </c>
      <c r="C40" s="10">
        <v>0</v>
      </c>
      <c r="D40" s="10">
        <f>700+1000</f>
        <v>1700</v>
      </c>
      <c r="E40" s="9">
        <f ca="1">'المصروفات التشغيلية'!$C40+'المصروفات التشغيلية'!$D40</f>
        <v>1700</v>
      </c>
      <c r="F40" s="5">
        <f ca="1">'المصروفات التشغيلية'!$E40+(10^-6)*ROW('المصروفات التشغيلية'!$E40)</f>
        <v>1700.0000399999999</v>
      </c>
      <c r="G40" s="2"/>
    </row>
    <row r="41" spans="1:7" ht="20.25" customHeight="1">
      <c r="A41" s="2"/>
      <c r="B41" s="10" t="s">
        <v>160</v>
      </c>
      <c r="C41" s="20">
        <v>0</v>
      </c>
      <c r="D41" s="21">
        <f>2000</f>
        <v>2000</v>
      </c>
      <c r="E41" s="22">
        <f ca="1">'المصروفات التشغيلية'!$C41+'المصروفات التشغيلية'!$D41</f>
        <v>2000</v>
      </c>
      <c r="F41" s="5">
        <f ca="1">'المصروفات التشغيلية'!$E41+(10^-6)*ROW('المصروفات التشغيلية'!$E41)</f>
        <v>2000.000041</v>
      </c>
      <c r="G41" s="2"/>
    </row>
    <row r="42" spans="1:7" ht="20.25" customHeight="1">
      <c r="A42" s="2"/>
      <c r="B42" s="10" t="s">
        <v>126</v>
      </c>
      <c r="C42" s="10">
        <v>0</v>
      </c>
      <c r="D42" s="10">
        <f>900+1450+800+5389</f>
        <v>8539</v>
      </c>
      <c r="E42" s="9">
        <f ca="1">'المصروفات التشغيلية'!$C42+'المصروفات التشغيلية'!$D42</f>
        <v>8539</v>
      </c>
      <c r="F42" s="5">
        <f ca="1">'المصروفات التشغيلية'!$E42+(10^-6)*ROW('المصروفات التشغيلية'!$E42)</f>
        <v>8539.0000419999997</v>
      </c>
      <c r="G42" s="2"/>
    </row>
    <row r="43" spans="1:7" ht="20.25" customHeight="1">
      <c r="A43" s="2"/>
      <c r="B43" s="10" t="s">
        <v>129</v>
      </c>
      <c r="C43" s="20">
        <f>170</f>
        <v>170</v>
      </c>
      <c r="D43" s="21">
        <v>0</v>
      </c>
      <c r="E43" s="22">
        <f ca="1">'المصروفات التشغيلية'!$C43+'المصروفات التشغيلية'!$D43</f>
        <v>170</v>
      </c>
      <c r="F43" s="5">
        <f ca="1">'المصروفات التشغيلية'!$E43+(10^-6)*ROW('المصروفات التشغيلية'!$E43)</f>
        <v>170.00004300000001</v>
      </c>
      <c r="G43" s="2"/>
    </row>
    <row r="44" spans="1:7" ht="20.25" customHeight="1">
      <c r="A44" s="2"/>
      <c r="B44" s="10" t="s">
        <v>163</v>
      </c>
      <c r="C44" s="20">
        <v>0</v>
      </c>
      <c r="D44" s="21">
        <f>162+123</f>
        <v>285</v>
      </c>
      <c r="E44" s="22">
        <f ca="1">'المصروفات التشغيلية'!$C44+'المصروفات التشغيلية'!$D44</f>
        <v>285</v>
      </c>
      <c r="F44" s="5">
        <f ca="1">'المصروفات التشغيلية'!$E44+(10^-6)*ROW('المصروفات التشغيلية'!$E44)</f>
        <v>285.000044</v>
      </c>
      <c r="G44" s="2"/>
    </row>
    <row r="45" spans="1:7" ht="20.25" customHeight="1">
      <c r="A45" s="2"/>
      <c r="B45" s="10" t="s">
        <v>168</v>
      </c>
      <c r="C45" s="20">
        <f>5023+7160</f>
        <v>12183</v>
      </c>
      <c r="D45" s="21"/>
      <c r="E45" s="22">
        <f ca="1">'المصروفات التشغيلية'!$C45+'المصروفات التشغيلية'!$D45</f>
        <v>12183</v>
      </c>
      <c r="F45" s="5">
        <f ca="1">'المصروفات التشغيلية'!$E45+(10^-6)*ROW('المصروفات التشغيلية'!$E45)</f>
        <v>12183.000045000001</v>
      </c>
      <c r="G45" s="2"/>
    </row>
    <row r="46" spans="1:7" ht="20.25" customHeight="1">
      <c r="A46" s="2"/>
      <c r="B46" s="10" t="s">
        <v>162</v>
      </c>
      <c r="C46" s="10">
        <v>0</v>
      </c>
      <c r="D46" s="10">
        <f>2400+2400+300</f>
        <v>5100</v>
      </c>
      <c r="E46" s="22">
        <f ca="1">'المصروفات التشغيلية'!$C46+'المصروفات التشغيلية'!$D46</f>
        <v>5100</v>
      </c>
      <c r="F46" s="5">
        <f ca="1">'المصروفات التشغيلية'!$E46+(10^-6)*ROW('المصروفات التشغيلية'!$E46)</f>
        <v>5100.0000460000001</v>
      </c>
      <c r="G46" s="2"/>
    </row>
    <row r="47" spans="1:7" ht="20.25" customHeight="1" thickBot="1">
      <c r="A47" s="2"/>
      <c r="B47" s="10" t="s">
        <v>169</v>
      </c>
      <c r="C47" s="20">
        <f>6000</f>
        <v>6000</v>
      </c>
      <c r="D47" s="21">
        <v>0</v>
      </c>
      <c r="E47" s="22">
        <f ca="1">'المصروفات التشغيلية'!$C47+'المصروفات التشغيلية'!$D47</f>
        <v>6000</v>
      </c>
      <c r="F47" s="5">
        <f ca="1">'المصروفات التشغيلية'!$E47+(10^-6)*ROW('المصروفات التشغيلية'!$E47)</f>
        <v>6000.0000470000004</v>
      </c>
      <c r="G47" s="2"/>
    </row>
    <row r="48" spans="1:7" ht="30" customHeight="1" thickTop="1" thickBot="1">
      <c r="A48" s="2"/>
      <c r="B48" s="31" t="s">
        <v>4</v>
      </c>
      <c r="C48" s="32">
        <f>SUBTOTAL(109,C5:C47)</f>
        <v>1860368.4299999997</v>
      </c>
      <c r="D48" s="32">
        <f>SUBTOTAL(109,D5:D47)</f>
        <v>772865.27</v>
      </c>
      <c r="E48" s="32">
        <f>SUBTOTAL(109,E5:E47)</f>
        <v>2633233.7000000002</v>
      </c>
      <c r="F48" s="13"/>
      <c r="G48" s="2"/>
    </row>
    <row r="49" ht="30" customHeight="1" thickTop="1"/>
  </sheetData>
  <sheetProtection insertColumns="0" insertRows="0" deleteColumns="0" deleteRows="0" selectLockedCells="1" autoFilter="0"/>
  <dataConsolidate/>
  <mergeCells count="2">
    <mergeCell ref="B1:G1"/>
    <mergeCell ref="B2:G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:D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D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D4"/>
    <dataValidation allowBlank="1" showInputMessage="1" showErrorMessage="1" prompt="أدخل المبلغ &quot;الفعلي&quot; في هذا العمود أسفل هذا العنوان" sqref="E4"/>
  </dataValidations>
  <printOptions horizontalCentered="1"/>
  <pageMargins left="0.25" right="0.25" top="0.25" bottom="0.25" header="0" footer="0"/>
  <pageSetup paperSize="9" scale="78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39"/>
  <sheetViews>
    <sheetView showGridLines="0" rightToLeft="1" view="pageBreakPreview" zoomScale="60" zoomScaleNormal="100" workbookViewId="0">
      <selection activeCell="C39" sqref="C39"/>
    </sheetView>
  </sheetViews>
  <sheetFormatPr defaultColWidth="8.875" defaultRowHeight="30" customHeight="1"/>
  <cols>
    <col min="1" max="1" width="4" style="1" customWidth="1"/>
    <col min="2" max="2" width="47.625" style="1" customWidth="1"/>
    <col min="3" max="3" width="18.875" style="1" customWidth="1"/>
    <col min="4" max="4" width="21.875" style="1" hidden="1" customWidth="1"/>
    <col min="5" max="5" width="4" style="1" customWidth="1"/>
    <col min="6" max="6" width="4" customWidth="1"/>
  </cols>
  <sheetData>
    <row r="1" spans="1:5" ht="24" customHeight="1">
      <c r="A1" s="2"/>
      <c r="B1" s="42" t="s">
        <v>183</v>
      </c>
      <c r="C1" s="42"/>
      <c r="D1" s="42"/>
      <c r="E1" s="42"/>
    </row>
    <row r="2" spans="1:5" ht="23.25" customHeight="1">
      <c r="A2" s="2"/>
      <c r="B2" s="40" t="s">
        <v>5</v>
      </c>
      <c r="C2" s="41"/>
      <c r="D2" s="41"/>
      <c r="E2" s="41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7" t="s">
        <v>6</v>
      </c>
      <c r="C4" s="6" t="s">
        <v>79</v>
      </c>
      <c r="D4" s="3" t="s">
        <v>2</v>
      </c>
      <c r="E4" s="2"/>
    </row>
    <row r="5" spans="1:5" ht="19.5" customHeight="1">
      <c r="A5" s="2"/>
      <c r="B5" s="8" t="s">
        <v>7</v>
      </c>
      <c r="C5" s="9"/>
      <c r="D5" s="5">
        <f ca="1">'مصروفات الاسر'!$C5+(10^-6)*ROW('مصروفات الاسر'!$C5)</f>
        <v>4.9999999999999996E-6</v>
      </c>
      <c r="E5" s="2"/>
    </row>
    <row r="6" spans="1:5" ht="19.5" customHeight="1">
      <c r="A6" s="2"/>
      <c r="B6" s="10" t="s">
        <v>81</v>
      </c>
      <c r="C6" s="9">
        <v>1314900</v>
      </c>
      <c r="D6" s="5">
        <f ca="1">'مصروفات الاسر'!$C6+(10^-6)*ROW('مصروفات الاسر'!$C6)</f>
        <v>1314900.000006</v>
      </c>
      <c r="E6" s="2"/>
    </row>
    <row r="7" spans="1:5" ht="19.5" customHeight="1">
      <c r="A7" s="2"/>
      <c r="B7" s="10" t="s">
        <v>82</v>
      </c>
      <c r="C7" s="9">
        <v>253600</v>
      </c>
      <c r="D7" s="5">
        <f ca="1">'مصروفات الاسر'!$C7+(10^-6)*ROW('مصروفات الاسر'!$C7)</f>
        <v>253600.000007</v>
      </c>
      <c r="E7" s="2"/>
    </row>
    <row r="8" spans="1:5" ht="19.5" customHeight="1">
      <c r="A8" s="2"/>
      <c r="B8" s="10" t="s">
        <v>83</v>
      </c>
      <c r="C8" s="9">
        <v>137400</v>
      </c>
      <c r="D8" s="5">
        <f ca="1">'مصروفات الاسر'!$C8+(10^-6)*ROW('مصروفات الاسر'!$C8)</f>
        <v>137400.000008</v>
      </c>
      <c r="E8" s="2"/>
    </row>
    <row r="9" spans="1:5" ht="19.5" customHeight="1">
      <c r="A9" s="2"/>
      <c r="B9" s="10" t="s">
        <v>150</v>
      </c>
      <c r="C9" s="9">
        <v>33000</v>
      </c>
      <c r="D9" s="5">
        <f ca="1">'مصروفات الاسر'!$C9+(10^-6)*ROW('مصروفات الاسر'!$C9)</f>
        <v>33000.000009000003</v>
      </c>
      <c r="E9" s="2"/>
    </row>
    <row r="10" spans="1:5" ht="19.5" customHeight="1">
      <c r="A10" s="2"/>
      <c r="B10" s="10" t="s">
        <v>100</v>
      </c>
      <c r="C10" s="9">
        <v>1955</v>
      </c>
      <c r="D10" s="5">
        <f ca="1">'مصروفات الاسر'!$C10+(10^-6)*ROW('مصروفات الاسر'!$C10)</f>
        <v>1955.00001</v>
      </c>
      <c r="E10" s="2"/>
    </row>
    <row r="11" spans="1:5" ht="19.5" customHeight="1">
      <c r="A11" s="2"/>
      <c r="B11" s="10" t="s">
        <v>67</v>
      </c>
      <c r="C11" s="9">
        <v>15000</v>
      </c>
      <c r="D11" s="5">
        <f ca="1">'مصروفات الاسر'!$C11+(10^-6)*ROW('مصروفات الاسر'!$C11)</f>
        <v>15000.000011</v>
      </c>
      <c r="E11" s="2"/>
    </row>
    <row r="12" spans="1:5" ht="19.5" customHeight="1">
      <c r="A12" s="2"/>
      <c r="B12" s="10" t="s">
        <v>151</v>
      </c>
      <c r="C12" s="9">
        <v>8290</v>
      </c>
      <c r="D12" s="5">
        <f ca="1">'مصروفات الاسر'!$C12+(10^-6)*ROW('مصروفات الاسر'!$C12)</f>
        <v>8290.0000120000004</v>
      </c>
      <c r="E12" s="2"/>
    </row>
    <row r="13" spans="1:5" ht="19.5" customHeight="1">
      <c r="A13" s="2"/>
      <c r="B13" s="10" t="s">
        <v>101</v>
      </c>
      <c r="C13" s="9">
        <v>163274</v>
      </c>
      <c r="D13" s="5">
        <f ca="1">'مصروفات الاسر'!$C13+(10^-6)*ROW('مصروفات الاسر'!$C13)</f>
        <v>163274.00001300001</v>
      </c>
      <c r="E13" s="2"/>
    </row>
    <row r="14" spans="1:5" ht="19.5" customHeight="1">
      <c r="A14" s="2"/>
      <c r="B14" s="10" t="s">
        <v>102</v>
      </c>
      <c r="C14" s="9">
        <v>3200</v>
      </c>
      <c r="D14" s="5">
        <f ca="1">'مصروفات الاسر'!$C14+(10^-6)*ROW('مصروفات الاسر'!$C14)</f>
        <v>3200.0000140000002</v>
      </c>
      <c r="E14" s="2"/>
    </row>
    <row r="15" spans="1:5" ht="19.5" customHeight="1">
      <c r="A15" s="2"/>
      <c r="B15" s="10" t="s">
        <v>103</v>
      </c>
      <c r="C15" s="9">
        <v>11508</v>
      </c>
      <c r="D15" s="5">
        <f ca="1">'مصروفات الاسر'!$C15+(10^-6)*ROW('مصروفات الاسر'!$C15)</f>
        <v>11508.000015</v>
      </c>
      <c r="E15" s="2"/>
    </row>
    <row r="16" spans="1:5" ht="19.5" customHeight="1">
      <c r="A16" s="2"/>
      <c r="B16" s="10" t="s">
        <v>152</v>
      </c>
      <c r="C16" s="9">
        <v>4500</v>
      </c>
      <c r="D16" s="5">
        <f ca="1">'مصروفات الاسر'!$C16+(10^-6)*ROW('مصروفات الاسر'!$C16)</f>
        <v>4500.000016</v>
      </c>
      <c r="E16" s="2"/>
    </row>
    <row r="17" spans="1:5" ht="19.5" customHeight="1">
      <c r="A17" s="2"/>
      <c r="B17" s="10" t="s">
        <v>153</v>
      </c>
      <c r="C17" s="9">
        <v>17000</v>
      </c>
      <c r="D17" s="5">
        <f ca="1">'مصروفات الاسر'!$C17+(10^-6)*ROW('مصروفات الاسر'!$C17)</f>
        <v>17000.000016999998</v>
      </c>
      <c r="E17" s="2"/>
    </row>
    <row r="18" spans="1:5" ht="19.5" customHeight="1">
      <c r="A18" s="2"/>
      <c r="B18" s="10" t="s">
        <v>154</v>
      </c>
      <c r="C18" s="9">
        <v>90759.5</v>
      </c>
      <c r="D18" s="5">
        <f ca="1">'مصروفات الاسر'!$C18+(10^-6)*ROW('مصروفات الاسر'!$C18)</f>
        <v>90759.500018000006</v>
      </c>
      <c r="E18" s="2"/>
    </row>
    <row r="19" spans="1:5" ht="19.5" customHeight="1" thickBot="1">
      <c r="A19" s="2"/>
      <c r="B19" s="10" t="s">
        <v>131</v>
      </c>
      <c r="C19" s="9">
        <v>842</v>
      </c>
      <c r="D19" s="5">
        <f ca="1">'مصروفات الاسر'!$C19+(10^-6)*ROW('مصروفات الاسر'!$C19)</f>
        <v>842.00001899999995</v>
      </c>
      <c r="E19" s="2"/>
    </row>
    <row r="20" spans="1:5" ht="19.5" customHeight="1" thickTop="1" thickBot="1">
      <c r="A20" s="2"/>
      <c r="B20" s="29" t="s">
        <v>185</v>
      </c>
      <c r="C20" s="30">
        <f>SUBTOTAL(109,C6:C19)</f>
        <v>2055228.5</v>
      </c>
      <c r="D20" s="5">
        <f ca="1">'مصروفات الاسر'!$C20+(10^-6)*ROW('مصروفات الاسر'!$C20)</f>
        <v>2055228.5000199999</v>
      </c>
      <c r="E20" s="2"/>
    </row>
    <row r="21" spans="1:5" ht="19.5" customHeight="1" thickTop="1">
      <c r="A21" s="2"/>
      <c r="B21" s="8" t="s">
        <v>9</v>
      </c>
      <c r="C21" s="9"/>
      <c r="D21" s="5">
        <f ca="1">'مصروفات الاسر'!$C21+(10^-6)*ROW('مصروفات الاسر'!$C21)</f>
        <v>2.0999999999999999E-5</v>
      </c>
      <c r="E21" s="2"/>
    </row>
    <row r="22" spans="1:5" ht="19.5" customHeight="1">
      <c r="A22" s="2"/>
      <c r="B22" s="10" t="s">
        <v>68</v>
      </c>
      <c r="C22" s="9">
        <v>101970</v>
      </c>
      <c r="D22" s="5">
        <f ca="1">'مصروفات الاسر'!$C22+(10^-6)*ROW('مصروفات الاسر'!$C22)</f>
        <v>101970.00002199999</v>
      </c>
      <c r="E22" s="2"/>
    </row>
    <row r="23" spans="1:5" ht="23.25" customHeight="1">
      <c r="A23" s="2"/>
      <c r="B23" s="10" t="s">
        <v>69</v>
      </c>
      <c r="C23" s="9">
        <v>1915</v>
      </c>
      <c r="D23" s="5">
        <f ca="1">'مصروفات الاسر'!$C23+(10^-6)*ROW('مصروفات الاسر'!$C23)</f>
        <v>1915.0000230000001</v>
      </c>
      <c r="E23" s="2"/>
    </row>
    <row r="24" spans="1:5" ht="23.25" customHeight="1">
      <c r="A24" s="2"/>
      <c r="B24" s="10" t="s">
        <v>70</v>
      </c>
      <c r="C24" s="9">
        <v>12902.58</v>
      </c>
      <c r="D24" s="5">
        <f ca="1">'مصروفات الاسر'!$C24+(10^-6)*ROW('مصروفات الاسر'!$C24)</f>
        <v>12902.580024000001</v>
      </c>
      <c r="E24" s="2"/>
    </row>
    <row r="25" spans="1:5" ht="23.25" customHeight="1">
      <c r="A25" s="2"/>
      <c r="B25" s="10" t="s">
        <v>104</v>
      </c>
      <c r="C25" s="9">
        <v>1344</v>
      </c>
      <c r="D25" s="5">
        <f ca="1">'مصروفات الاسر'!$C25+(10^-6)*ROW('مصروفات الاسر'!$C25)</f>
        <v>1344.0000250000001</v>
      </c>
      <c r="E25" s="2"/>
    </row>
    <row r="26" spans="1:5" ht="23.25" customHeight="1">
      <c r="A26" s="2"/>
      <c r="B26" s="10" t="s">
        <v>105</v>
      </c>
      <c r="C26" s="9">
        <v>1650</v>
      </c>
      <c r="D26" s="5">
        <f ca="1">'مصروفات الاسر'!$C26+(10^-6)*ROW('مصروفات الاسر'!$C26)</f>
        <v>1650.0000259999999</v>
      </c>
      <c r="E26" s="2"/>
    </row>
    <row r="27" spans="1:5" ht="23.25" customHeight="1">
      <c r="A27" s="2"/>
      <c r="B27" s="10" t="s">
        <v>155</v>
      </c>
      <c r="C27" s="9">
        <v>84115</v>
      </c>
      <c r="D27" s="5">
        <f ca="1">'مصروفات الاسر'!$C27+(10^-6)*ROW('مصروفات الاسر'!$C27)</f>
        <v>84115.000027000002</v>
      </c>
      <c r="E27" s="2"/>
    </row>
    <row r="28" spans="1:5" ht="23.25" customHeight="1">
      <c r="A28" s="2"/>
      <c r="B28" s="10" t="s">
        <v>156</v>
      </c>
      <c r="C28" s="9">
        <v>847855.65</v>
      </c>
      <c r="D28" s="5">
        <f ca="1">'مصروفات الاسر'!$C28+(10^-6)*ROW('مصروفات الاسر'!$C28)</f>
        <v>847855.650028</v>
      </c>
      <c r="E28" s="2"/>
    </row>
    <row r="29" spans="1:5" ht="23.25" customHeight="1">
      <c r="A29" s="2"/>
      <c r="B29" s="10" t="s">
        <v>157</v>
      </c>
      <c r="C29" s="9">
        <v>4234947.3</v>
      </c>
      <c r="D29" s="5">
        <f ca="1">'مصروفات الاسر'!$C29+(10^-6)*ROW('مصروفات الاسر'!$C29)</f>
        <v>4234947.3000290003</v>
      </c>
      <c r="E29" s="2"/>
    </row>
    <row r="30" spans="1:5" ht="23.25" customHeight="1">
      <c r="A30" s="2"/>
      <c r="B30" s="10" t="s">
        <v>158</v>
      </c>
      <c r="C30" s="9">
        <v>4791</v>
      </c>
      <c r="D30" s="5">
        <f ca="1">'مصروفات الاسر'!$C30+(10^-6)*ROW('مصروفات الاسر'!$C30)</f>
        <v>4791.0000300000002</v>
      </c>
      <c r="E30" s="2"/>
    </row>
    <row r="31" spans="1:5" ht="23.25" customHeight="1" thickBot="1">
      <c r="A31" s="2"/>
      <c r="B31" s="10" t="s">
        <v>159</v>
      </c>
      <c r="C31" s="9">
        <v>203574</v>
      </c>
      <c r="D31" s="5">
        <f ca="1">'مصروفات الاسر'!$C31+(10^-6)*ROW('مصروفات الاسر'!$C31)</f>
        <v>203574.000031</v>
      </c>
      <c r="E31" s="2"/>
    </row>
    <row r="32" spans="1:5" ht="23.25" customHeight="1" thickTop="1" thickBot="1">
      <c r="A32" s="2"/>
      <c r="B32" s="29" t="s">
        <v>184</v>
      </c>
      <c r="C32" s="30">
        <f>SUBTOTAL(109,C22:C31)</f>
        <v>5495064.5299999993</v>
      </c>
      <c r="D32" s="5">
        <f ca="1">'مصروفات الاسر'!$C32+(10^-6)*ROW('مصروفات الاسر'!$C32)</f>
        <v>5495064.5300319996</v>
      </c>
      <c r="E32" s="2"/>
    </row>
    <row r="33" spans="1:5" ht="19.5" customHeight="1" thickTop="1">
      <c r="A33" s="2"/>
      <c r="B33" s="8" t="s">
        <v>10</v>
      </c>
      <c r="C33" s="9"/>
      <c r="D33" s="5">
        <f ca="1">'مصروفات الاسر'!$C33+(10^-6)*ROW('مصروفات الاسر'!$C33)</f>
        <v>3.2999999999999996E-5</v>
      </c>
      <c r="E33" s="2"/>
    </row>
    <row r="34" spans="1:5" ht="19.5" customHeight="1">
      <c r="A34" s="2"/>
      <c r="B34" s="10" t="s">
        <v>71</v>
      </c>
      <c r="C34" s="9">
        <v>257218</v>
      </c>
      <c r="D34" s="5">
        <f ca="1">'مصروفات الاسر'!$C34+(10^-6)*ROW('مصروفات الاسر'!$C34)</f>
        <v>257218.000034</v>
      </c>
      <c r="E34" s="2"/>
    </row>
    <row r="35" spans="1:5" ht="19.5" customHeight="1" thickBot="1">
      <c r="A35" s="2"/>
      <c r="B35" s="10" t="s">
        <v>72</v>
      </c>
      <c r="C35" s="9">
        <v>28801</v>
      </c>
      <c r="D35" s="5">
        <f ca="1">'مصروفات الاسر'!$C35+(10^-6)*ROW('مصروفات الاسر'!$C35)</f>
        <v>28801.000035000001</v>
      </c>
      <c r="E35" s="2"/>
    </row>
    <row r="36" spans="1:5" ht="19.5" customHeight="1" thickTop="1" thickBot="1">
      <c r="A36" s="2"/>
      <c r="B36" s="29" t="s">
        <v>186</v>
      </c>
      <c r="C36" s="30">
        <f>SUBTOTAL(109,C34:C35)</f>
        <v>286019</v>
      </c>
      <c r="D36" s="5">
        <f ca="1">'مصروفات الاسر'!$C36+(10^-6)*ROW('مصروفات الاسر'!$C36)</f>
        <v>286019.00003599998</v>
      </c>
      <c r="E36" s="2"/>
    </row>
    <row r="37" spans="1:5" ht="14.25" customHeight="1" thickTop="1" thickBot="1">
      <c r="A37" s="2"/>
      <c r="B37" s="33"/>
      <c r="C37" s="34"/>
      <c r="D37" s="5">
        <f ca="1">'مصروفات الاسر'!$C37+(10^-6)*ROW('مصروفات الاسر'!$C37)</f>
        <v>3.6999999999999998E-5</v>
      </c>
      <c r="E37" s="2"/>
    </row>
    <row r="38" spans="1:5" ht="30" customHeight="1" thickTop="1" thickBot="1">
      <c r="A38" s="2"/>
      <c r="B38" s="35" t="s">
        <v>8</v>
      </c>
      <c r="C38" s="36">
        <f>C20+C32+C36</f>
        <v>7836312.0299999993</v>
      </c>
      <c r="D38" s="28"/>
      <c r="E38" s="2"/>
    </row>
    <row r="39" spans="1:5" ht="30" customHeight="1" thickTop="1"/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المبلغ &quot;الفعلي&quot; في هذا العمود أسفل هذا العنوان" sqref="C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"/>
    <dataValidation allowBlank="1" showInputMessage="1" showErrorMessage="1" prompt="يتم تحديث &quot;اسم الشركة&quot; تلقائياً في هذه الخلية" sqref="B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61"/>
  <sheetViews>
    <sheetView showGridLines="0" rightToLeft="1" tabSelected="1" view="pageBreakPreview" topLeftCell="A19" zoomScale="60" zoomScaleNormal="100" workbookViewId="0">
      <selection activeCell="B54" sqref="B54"/>
    </sheetView>
  </sheetViews>
  <sheetFormatPr defaultColWidth="8.875" defaultRowHeight="30" customHeight="1"/>
  <cols>
    <col min="1" max="1" width="4" style="1" customWidth="1"/>
    <col min="2" max="2" width="45" style="1" customWidth="1"/>
    <col min="3" max="3" width="18.875" style="1" customWidth="1"/>
    <col min="4" max="4" width="21.875" style="1" hidden="1" customWidth="1"/>
    <col min="5" max="5" width="4" style="1" customWidth="1"/>
    <col min="6" max="6" width="4" customWidth="1"/>
  </cols>
  <sheetData>
    <row r="1" spans="1:5" ht="22.5" customHeight="1">
      <c r="A1" s="2"/>
      <c r="B1" s="42" t="s">
        <v>182</v>
      </c>
      <c r="C1" s="42"/>
      <c r="D1" s="42"/>
      <c r="E1" s="42"/>
    </row>
    <row r="2" spans="1:5" ht="26.25" customHeight="1">
      <c r="A2" s="2"/>
      <c r="B2" s="40" t="s">
        <v>48</v>
      </c>
      <c r="C2" s="41"/>
      <c r="D2" s="41"/>
      <c r="E2" s="41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3" t="s">
        <v>11</v>
      </c>
      <c r="C4" s="4" t="s">
        <v>1</v>
      </c>
      <c r="D4" s="3" t="s">
        <v>2</v>
      </c>
      <c r="E4" s="2"/>
    </row>
    <row r="5" spans="1:5" ht="19.5" customHeight="1">
      <c r="A5" s="2"/>
      <c r="B5" s="8" t="s">
        <v>12</v>
      </c>
      <c r="C5" s="9"/>
      <c r="D5" s="5">
        <f ca="1">'الايرادات التبرعات'!$C5+(10^-6)*ROW('الايرادات التبرعات'!$C5)</f>
        <v>4.9999999999999996E-6</v>
      </c>
      <c r="E5" s="2"/>
    </row>
    <row r="6" spans="1:5" ht="19.5" customHeight="1">
      <c r="A6" s="2"/>
      <c r="B6" s="10" t="s">
        <v>32</v>
      </c>
      <c r="C6" s="9">
        <v>804126.12</v>
      </c>
      <c r="D6" s="5">
        <f ca="1">'الايرادات التبرعات'!$C6+(10^-6)*ROW('الايرادات التبرعات'!$C6)</f>
        <v>804126.12000600004</v>
      </c>
      <c r="E6" s="2"/>
    </row>
    <row r="7" spans="1:5" ht="19.5" customHeight="1">
      <c r="A7" s="2"/>
      <c r="B7" s="10" t="s">
        <v>90</v>
      </c>
      <c r="C7" s="9">
        <v>97935.01</v>
      </c>
      <c r="D7" s="5">
        <f ca="1">'الايرادات التبرعات'!$C7+(10^-6)*ROW('الايرادات التبرعات'!$C7)</f>
        <v>97935.01000699999</v>
      </c>
      <c r="E7" s="2"/>
    </row>
    <row r="8" spans="1:5" ht="19.5" customHeight="1">
      <c r="A8" s="2"/>
      <c r="B8" s="10" t="s">
        <v>91</v>
      </c>
      <c r="C8" s="9">
        <v>817259.33</v>
      </c>
      <c r="D8" s="5">
        <f ca="1">'الايرادات التبرعات'!$C8+(10^-6)*ROW('الايرادات التبرعات'!$C8)</f>
        <v>817259.3300079999</v>
      </c>
      <c r="E8" s="2"/>
    </row>
    <row r="9" spans="1:5" ht="19.5" customHeight="1">
      <c r="A9" s="2"/>
      <c r="B9" s="10" t="s">
        <v>132</v>
      </c>
      <c r="C9" s="9">
        <v>138795.62</v>
      </c>
      <c r="D9" s="5">
        <f ca="1">'الايرادات التبرعات'!$C9+(10^-6)*ROW('الايرادات التبرعات'!$C9)</f>
        <v>138795.62000900001</v>
      </c>
      <c r="E9" s="2"/>
    </row>
    <row r="10" spans="1:5" ht="19.5" customHeight="1">
      <c r="A10" s="2"/>
      <c r="B10" s="10" t="s">
        <v>133</v>
      </c>
      <c r="C10" s="9">
        <v>200</v>
      </c>
      <c r="D10" s="5">
        <f ca="1">'الايرادات التبرعات'!$C10+(10^-6)*ROW('الايرادات التبرعات'!$C10)</f>
        <v>200.00001</v>
      </c>
      <c r="E10" s="2"/>
    </row>
    <row r="11" spans="1:5" ht="19.5" customHeight="1">
      <c r="A11" s="2"/>
      <c r="B11" s="10" t="s">
        <v>73</v>
      </c>
      <c r="C11" s="9">
        <v>15000</v>
      </c>
      <c r="D11" s="5">
        <f ca="1">'الايرادات التبرعات'!$C11+(10^-6)*ROW('الايرادات التبرعات'!$C11)</f>
        <v>15000.000011</v>
      </c>
      <c r="E11" s="2"/>
    </row>
    <row r="12" spans="1:5" ht="19.5" customHeight="1">
      <c r="A12" s="2"/>
      <c r="B12" s="10" t="s">
        <v>92</v>
      </c>
      <c r="C12" s="9">
        <v>52000</v>
      </c>
      <c r="D12" s="5">
        <f ca="1">'الايرادات التبرعات'!$C12+(10^-6)*ROW('الايرادات التبرعات'!$C12)</f>
        <v>52000.000011999997</v>
      </c>
      <c r="E12" s="2"/>
    </row>
    <row r="13" spans="1:5" ht="19.5" customHeight="1">
      <c r="A13" s="2"/>
      <c r="B13" s="10" t="s">
        <v>93</v>
      </c>
      <c r="C13" s="9">
        <v>120000</v>
      </c>
      <c r="D13" s="5">
        <f ca="1">'الايرادات التبرعات'!$C13+(10^-6)*ROW('الايرادات التبرعات'!$C13)</f>
        <v>120000.000013</v>
      </c>
      <c r="E13" s="2"/>
    </row>
    <row r="14" spans="1:5" ht="19.5" customHeight="1">
      <c r="A14" s="2"/>
      <c r="B14" s="10" t="s">
        <v>94</v>
      </c>
      <c r="C14" s="9">
        <v>35000</v>
      </c>
      <c r="D14" s="5">
        <f ca="1">'الايرادات التبرعات'!$C14+(10^-6)*ROW('الايرادات التبرعات'!$C14)</f>
        <v>35000.000013999997</v>
      </c>
      <c r="E14" s="2"/>
    </row>
    <row r="15" spans="1:5" ht="19.5" customHeight="1">
      <c r="A15" s="2"/>
      <c r="B15" s="10" t="s">
        <v>134</v>
      </c>
      <c r="C15" s="9">
        <v>9000</v>
      </c>
      <c r="D15" s="5">
        <f ca="1">'الايرادات التبرعات'!$C15+(10^-6)*ROW('الايرادات التبرعات'!$C15)</f>
        <v>9000.0000149999996</v>
      </c>
      <c r="E15" s="2"/>
    </row>
    <row r="16" spans="1:5" ht="19.5" customHeight="1">
      <c r="A16" s="2"/>
      <c r="B16" s="10" t="s">
        <v>135</v>
      </c>
      <c r="C16" s="9">
        <v>17000</v>
      </c>
      <c r="D16" s="5">
        <f ca="1">'الايرادات التبرعات'!$C16+(10^-6)*ROW('الايرادات التبرعات'!$C16)</f>
        <v>17000.000016000002</v>
      </c>
      <c r="E16" s="2"/>
    </row>
    <row r="17" spans="1:5" ht="19.5" customHeight="1">
      <c r="A17" s="2"/>
      <c r="B17" s="10" t="s">
        <v>95</v>
      </c>
      <c r="C17" s="9">
        <v>15000</v>
      </c>
      <c r="D17" s="5">
        <f ca="1">'الايرادات التبرعات'!$C17+(10^-6)*ROW('الايرادات التبرعات'!$C17)</f>
        <v>15000.000017</v>
      </c>
      <c r="E17" s="2"/>
    </row>
    <row r="18" spans="1:5" ht="19.5" customHeight="1">
      <c r="A18" s="2"/>
      <c r="B18" s="10" t="s">
        <v>96</v>
      </c>
      <c r="C18" s="9">
        <v>4391000</v>
      </c>
      <c r="D18" s="5">
        <f ca="1">'الايرادات التبرعات'!$C18+(10^-6)*ROW('الايرادات التبرعات'!$C18)</f>
        <v>4391000.0000179997</v>
      </c>
      <c r="E18" s="2"/>
    </row>
    <row r="19" spans="1:5" ht="19.5" customHeight="1">
      <c r="A19" s="2"/>
      <c r="B19" s="10" t="s">
        <v>42</v>
      </c>
      <c r="C19" s="9">
        <v>13392.28</v>
      </c>
      <c r="D19" s="5">
        <f ca="1">'الايرادات التبرعات'!$C19+(10^-6)*ROW('الايرادات التبرعات'!$C19)</f>
        <v>13392.280019</v>
      </c>
      <c r="E19" s="2"/>
    </row>
    <row r="20" spans="1:5" ht="19.5" customHeight="1">
      <c r="A20" s="2"/>
      <c r="B20" s="10" t="s">
        <v>136</v>
      </c>
      <c r="C20" s="9">
        <v>100000</v>
      </c>
      <c r="D20" s="5">
        <f ca="1">'الايرادات التبرعات'!$C20+(10^-6)*ROW('الايرادات التبرعات'!$C20)</f>
        <v>100000.00002000001</v>
      </c>
      <c r="E20" s="2"/>
    </row>
    <row r="21" spans="1:5" ht="19.5" customHeight="1">
      <c r="A21" s="2"/>
      <c r="B21" s="10" t="s">
        <v>137</v>
      </c>
      <c r="C21" s="9">
        <v>9000</v>
      </c>
      <c r="D21" s="5">
        <f ca="1">'الايرادات التبرعات'!$C21+(10^-6)*ROW('الايرادات التبرعات'!$C21)</f>
        <v>9000.0000209999998</v>
      </c>
      <c r="E21" s="2"/>
    </row>
    <row r="22" spans="1:5" ht="19.5" customHeight="1">
      <c r="A22" s="2"/>
      <c r="B22" s="10" t="s">
        <v>43</v>
      </c>
      <c r="C22" s="9">
        <v>23941.8</v>
      </c>
      <c r="D22" s="5">
        <f ca="1">'الايرادات التبرعات'!$C22+(10^-6)*ROW('الايرادات التبرعات'!$C22)</f>
        <v>23941.800021999999</v>
      </c>
      <c r="E22" s="2"/>
    </row>
    <row r="23" spans="1:5" ht="19.5" customHeight="1" thickBot="1">
      <c r="A23" s="2"/>
      <c r="B23" s="10" t="s">
        <v>138</v>
      </c>
      <c r="C23" s="9">
        <v>125343.93</v>
      </c>
      <c r="D23" s="5">
        <f ca="1">'الايرادات التبرعات'!$C23+(10^-6)*ROW('الايرادات التبرعات'!$C23)</f>
        <v>125343.93002299999</v>
      </c>
      <c r="E23" s="2"/>
    </row>
    <row r="24" spans="1:5" ht="19.5" customHeight="1" thickTop="1" thickBot="1">
      <c r="A24" s="2"/>
      <c r="B24" s="29" t="s">
        <v>179</v>
      </c>
      <c r="C24" s="30">
        <f>SUBTOTAL(109,C6:C23)</f>
        <v>6783994.0899999999</v>
      </c>
      <c r="D24" s="5">
        <f ca="1">'الايرادات التبرعات'!$C24+(10^-6)*ROW('الايرادات التبرعات'!$C24)</f>
        <v>6783994.090024</v>
      </c>
      <c r="E24" s="2"/>
    </row>
    <row r="25" spans="1:5" ht="19.5" customHeight="1" thickTop="1">
      <c r="A25" s="2"/>
      <c r="B25" s="8" t="s">
        <v>13</v>
      </c>
      <c r="C25" s="9"/>
      <c r="D25" s="5">
        <f ca="1">'الايرادات التبرعات'!$C25+(10^-6)*ROW('الايرادات التبرعات'!$C25)</f>
        <v>2.4999999999999998E-5</v>
      </c>
      <c r="E25" s="2"/>
    </row>
    <row r="26" spans="1:5" ht="19.5" customHeight="1">
      <c r="A26" s="2"/>
      <c r="B26" s="10"/>
      <c r="C26" s="9"/>
      <c r="D26" s="5">
        <f ca="1">'الايرادات التبرعات'!$C26+(10^-6)*ROW('الايرادات التبرعات'!$C26)</f>
        <v>2.5999999999999998E-5</v>
      </c>
      <c r="E26" s="2"/>
    </row>
    <row r="27" spans="1:5" ht="19.5" customHeight="1">
      <c r="A27" s="2"/>
      <c r="B27" s="8" t="s">
        <v>14</v>
      </c>
      <c r="C27" s="9"/>
      <c r="D27" s="5">
        <f ca="1">'الايرادات التبرعات'!$C27+(10^-6)*ROW('الايرادات التبرعات'!$C27)</f>
        <v>2.6999999999999999E-5</v>
      </c>
      <c r="E27" s="2"/>
    </row>
    <row r="28" spans="1:5" ht="19.5" customHeight="1">
      <c r="A28" s="2"/>
      <c r="B28" s="10" t="s">
        <v>88</v>
      </c>
      <c r="C28" s="9">
        <v>100</v>
      </c>
      <c r="D28" s="5">
        <f ca="1">'الايرادات التبرعات'!$C28+(10^-6)*ROW('الايرادات التبرعات'!$C28)</f>
        <v>100.000028</v>
      </c>
      <c r="E28" s="2"/>
    </row>
    <row r="29" spans="1:5" ht="19.5" customHeight="1">
      <c r="A29" s="2"/>
      <c r="B29" s="10" t="s">
        <v>89</v>
      </c>
      <c r="C29" s="9">
        <v>257218</v>
      </c>
      <c r="D29" s="5">
        <f ca="1">'الايرادات التبرعات'!$C29+(10^-6)*ROW('الايرادات التبرعات'!$C29)</f>
        <v>257218.00002899999</v>
      </c>
      <c r="E29" s="2"/>
    </row>
    <row r="30" spans="1:5" ht="19.5" customHeight="1">
      <c r="A30" s="2"/>
      <c r="B30" s="10" t="s">
        <v>44</v>
      </c>
      <c r="C30" s="9">
        <v>2441441.52</v>
      </c>
      <c r="D30" s="5">
        <f ca="1">'الايرادات التبرعات'!$C30+(10^-6)*ROW('الايرادات التبرعات'!$C30)</f>
        <v>2441441.5200300002</v>
      </c>
      <c r="E30" s="2"/>
    </row>
    <row r="31" spans="1:5" ht="19.5" customHeight="1">
      <c r="A31" s="2"/>
      <c r="B31" s="10" t="s">
        <v>87</v>
      </c>
      <c r="C31" s="9">
        <v>326200</v>
      </c>
      <c r="D31" s="5">
        <f ca="1">'الايرادات التبرعات'!$C31+(10^-6)*ROW('الايرادات التبرعات'!$C31)</f>
        <v>326200.000031</v>
      </c>
      <c r="E31" s="2"/>
    </row>
    <row r="32" spans="1:5" ht="19.5" customHeight="1">
      <c r="A32" s="2"/>
      <c r="B32" s="10" t="s">
        <v>45</v>
      </c>
      <c r="C32" s="9">
        <v>3146</v>
      </c>
      <c r="D32" s="5">
        <f ca="1">'الايرادات التبرعات'!$C32+(10^-6)*ROW('الايرادات التبرعات'!$C32)</f>
        <v>3146.0000319999999</v>
      </c>
      <c r="E32" s="2"/>
    </row>
    <row r="33" spans="1:5" ht="19.5" customHeight="1">
      <c r="A33" s="2"/>
      <c r="B33" s="10" t="s">
        <v>46</v>
      </c>
      <c r="C33" s="9">
        <v>37683</v>
      </c>
      <c r="D33" s="5">
        <f ca="1">'الايرادات التبرعات'!$C33+(10^-6)*ROW('الايرادات التبرعات'!$C33)</f>
        <v>37683.000032999997</v>
      </c>
      <c r="E33" s="2"/>
    </row>
    <row r="34" spans="1:5" ht="19.5" customHeight="1" thickBot="1">
      <c r="A34" s="2"/>
      <c r="B34" s="10" t="s">
        <v>47</v>
      </c>
      <c r="C34" s="9">
        <v>248756.56</v>
      </c>
      <c r="D34" s="5">
        <f ca="1">'الايرادات التبرعات'!$C34+(10^-6)*ROW('الايرادات التبرعات'!$C34)</f>
        <v>248756.56003399999</v>
      </c>
      <c r="E34" s="2"/>
    </row>
    <row r="35" spans="1:5" ht="19.5" customHeight="1" thickTop="1" thickBot="1">
      <c r="A35" s="2"/>
      <c r="B35" s="29" t="s">
        <v>180</v>
      </c>
      <c r="C35" s="30">
        <f>SUBTOTAL(109,C28:C34)</f>
        <v>3314545.08</v>
      </c>
      <c r="D35" s="5">
        <f ca="1">'الايرادات التبرعات'!$C35+(10^-6)*ROW('الايرادات التبرعات'!$C35)</f>
        <v>3314545.0800350001</v>
      </c>
      <c r="E35" s="2"/>
    </row>
    <row r="36" spans="1:5" ht="19.5" customHeight="1" thickTop="1">
      <c r="A36" s="2"/>
      <c r="B36" s="8" t="s">
        <v>80</v>
      </c>
      <c r="C36" s="9"/>
      <c r="D36" s="5">
        <f ca="1">'الايرادات التبرعات'!$C36+(10^-6)*ROW('الايرادات التبرعات'!$C36)</f>
        <v>3.6000000000000001E-5</v>
      </c>
      <c r="E36" s="2"/>
    </row>
    <row r="37" spans="1:5" ht="19.5" customHeight="1">
      <c r="A37" s="2"/>
      <c r="B37" s="16" t="s">
        <v>84</v>
      </c>
      <c r="C37" s="9">
        <v>38889</v>
      </c>
      <c r="D37" s="5">
        <f ca="1">'الايرادات التبرعات'!$C37+(10^-6)*ROW('الايرادات التبرعات'!$C37)</f>
        <v>38889.000036999998</v>
      </c>
      <c r="E37" s="2"/>
    </row>
    <row r="38" spans="1:5" ht="19.5" customHeight="1">
      <c r="A38" s="2"/>
      <c r="B38" s="16" t="s">
        <v>49</v>
      </c>
      <c r="C38" s="9">
        <v>38889</v>
      </c>
      <c r="D38" s="5">
        <f ca="1">'الايرادات التبرعات'!$C38+(10^-6)*ROW('الايرادات التبرعات'!$C38)</f>
        <v>38889.000037999998</v>
      </c>
      <c r="E38" s="2"/>
    </row>
    <row r="39" spans="1:5" ht="19.5" customHeight="1">
      <c r="A39" s="2"/>
      <c r="B39" s="16" t="s">
        <v>50</v>
      </c>
      <c r="C39" s="9">
        <v>40917</v>
      </c>
      <c r="D39" s="5">
        <f ca="1">'الايرادات التبرعات'!$C39+(10^-6)*ROW('الايرادات التبرعات'!$C39)</f>
        <v>40917.000038999999</v>
      </c>
      <c r="E39" s="2"/>
    </row>
    <row r="40" spans="1:5" ht="19.5" customHeight="1">
      <c r="A40" s="2"/>
      <c r="B40" s="10" t="s">
        <v>139</v>
      </c>
      <c r="C40" s="9">
        <v>4600</v>
      </c>
      <c r="D40" s="5">
        <f ca="1">'الايرادات التبرعات'!$C40+(10^-6)*ROW('الايرادات التبرعات'!$C40)</f>
        <v>4600.0000399999999</v>
      </c>
      <c r="E40" s="2"/>
    </row>
    <row r="41" spans="1:5" ht="19.5" customHeight="1">
      <c r="A41" s="2"/>
      <c r="B41" s="10" t="s">
        <v>140</v>
      </c>
      <c r="C41" s="9">
        <v>188889</v>
      </c>
      <c r="D41" s="5">
        <f ca="1">'الايرادات التبرعات'!$C41+(10^-6)*ROW('الايرادات التبرعات'!$C41)</f>
        <v>188889.00004099999</v>
      </c>
      <c r="E41" s="2"/>
    </row>
    <row r="42" spans="1:5" ht="19.5" customHeight="1">
      <c r="A42" s="2"/>
      <c r="B42" s="10" t="s">
        <v>141</v>
      </c>
      <c r="C42" s="9">
        <v>46195</v>
      </c>
      <c r="D42" s="5">
        <f ca="1">'الايرادات التبرعات'!$C42+(10^-6)*ROW('الايرادات التبرعات'!$C42)</f>
        <v>46195.000042</v>
      </c>
      <c r="E42" s="2"/>
    </row>
    <row r="43" spans="1:5" ht="19.5" customHeight="1">
      <c r="A43" s="2"/>
      <c r="B43" s="16" t="s">
        <v>51</v>
      </c>
      <c r="C43" s="9">
        <v>20833</v>
      </c>
      <c r="D43" s="5">
        <f ca="1">'الايرادات التبرعات'!$C43+(10^-6)*ROW('الايرادات التبرعات'!$C43)</f>
        <v>20833.000043</v>
      </c>
      <c r="E43" s="2"/>
    </row>
    <row r="44" spans="1:5" ht="19.5" customHeight="1">
      <c r="A44" s="2"/>
      <c r="B44" s="10" t="s">
        <v>85</v>
      </c>
      <c r="C44" s="9">
        <v>100000</v>
      </c>
      <c r="D44" s="5">
        <f ca="1">'الايرادات التبرعات'!$C44+(10^-6)*ROW('الايرادات التبرعات'!$C44)</f>
        <v>100000.000044</v>
      </c>
      <c r="E44" s="2"/>
    </row>
    <row r="45" spans="1:5" ht="19.5" customHeight="1">
      <c r="A45" s="2"/>
      <c r="B45" s="16" t="s">
        <v>86</v>
      </c>
      <c r="C45" s="9">
        <v>24445</v>
      </c>
      <c r="D45" s="5">
        <f ca="1">'الايرادات التبرعات'!$C45+(10^-6)*ROW('الايرادات التبرعات'!$C45)</f>
        <v>24445.000045000001</v>
      </c>
      <c r="E45" s="2"/>
    </row>
    <row r="46" spans="1:5" ht="19.5" customHeight="1">
      <c r="A46" s="2"/>
      <c r="B46" s="10" t="s">
        <v>142</v>
      </c>
      <c r="C46" s="9">
        <v>24445</v>
      </c>
      <c r="D46" s="5">
        <f ca="1">'الايرادات التبرعات'!$C46+(10^-6)*ROW('الايرادات التبرعات'!$C46)</f>
        <v>24445.000046000001</v>
      </c>
      <c r="E46" s="2"/>
    </row>
    <row r="47" spans="1:5" ht="19.5" customHeight="1">
      <c r="A47" s="2"/>
      <c r="B47" s="10" t="s">
        <v>97</v>
      </c>
      <c r="C47" s="9">
        <v>9000</v>
      </c>
      <c r="D47" s="5">
        <f ca="1">'الايرادات التبرعات'!$C47+(10^-6)*ROW('الايرادات التبرعات'!$C47)</f>
        <v>9000.0000469999995</v>
      </c>
      <c r="E47" s="2"/>
    </row>
    <row r="48" spans="1:5" ht="19.5" customHeight="1">
      <c r="A48" s="2"/>
      <c r="B48" s="10" t="s">
        <v>143</v>
      </c>
      <c r="C48" s="9">
        <v>16112</v>
      </c>
      <c r="D48" s="5">
        <f ca="1">'الايرادات التبرعات'!$C48+(10^-6)*ROW('الايرادات التبرعات'!$C48)</f>
        <v>16112.000048</v>
      </c>
      <c r="E48" s="2"/>
    </row>
    <row r="49" spans="1:5" ht="19.5" customHeight="1">
      <c r="A49" s="2"/>
      <c r="B49" s="10" t="s">
        <v>98</v>
      </c>
      <c r="C49" s="9">
        <v>10000</v>
      </c>
      <c r="D49" s="5">
        <f ca="1">'الايرادات التبرعات'!$C49+(10^-6)*ROW('الايرادات التبرعات'!$C49)</f>
        <v>10000.000049</v>
      </c>
      <c r="E49" s="2"/>
    </row>
    <row r="50" spans="1:5" ht="19.5" customHeight="1">
      <c r="A50" s="2"/>
      <c r="B50" s="10" t="s">
        <v>99</v>
      </c>
      <c r="C50" s="9">
        <v>20000</v>
      </c>
      <c r="D50" s="5">
        <f ca="1">'الايرادات التبرعات'!$C50+(10^-6)*ROW('الايرادات التبرعات'!$C50)</f>
        <v>20000.000049999999</v>
      </c>
      <c r="E50" s="2"/>
    </row>
    <row r="51" spans="1:5" ht="19.5" customHeight="1">
      <c r="A51" s="2"/>
      <c r="B51" s="10" t="s">
        <v>144</v>
      </c>
      <c r="C51" s="9">
        <v>20000</v>
      </c>
      <c r="D51" s="5">
        <f ca="1">'الايرادات التبرعات'!$C51+(10^-6)*ROW('الايرادات التبرعات'!$C51)</f>
        <v>20000.000050999999</v>
      </c>
      <c r="E51" s="2"/>
    </row>
    <row r="52" spans="1:5" ht="19.5" customHeight="1">
      <c r="A52" s="2"/>
      <c r="B52" s="10" t="s">
        <v>145</v>
      </c>
      <c r="C52" s="9">
        <v>20000</v>
      </c>
      <c r="D52" s="5">
        <f ca="1">'الايرادات التبرعات'!$C52+(10^-6)*ROW('الايرادات التبرعات'!$C52)</f>
        <v>20000.000051999999</v>
      </c>
      <c r="E52" s="2"/>
    </row>
    <row r="53" spans="1:5" ht="19.5" customHeight="1">
      <c r="A53" s="2"/>
      <c r="B53" s="10" t="s">
        <v>146</v>
      </c>
      <c r="C53" s="9">
        <v>40000</v>
      </c>
      <c r="D53" s="5">
        <f ca="1">'الايرادات التبرعات'!$C53+(10^-6)*ROW('الايرادات التبرعات'!$C53)</f>
        <v>40000.000053000003</v>
      </c>
      <c r="E53" s="2"/>
    </row>
    <row r="54" spans="1:5" ht="19.5" customHeight="1">
      <c r="A54" s="2"/>
      <c r="B54" s="10" t="s">
        <v>147</v>
      </c>
      <c r="C54" s="9">
        <v>500</v>
      </c>
      <c r="D54" s="5">
        <f ca="1">'الايرادات التبرعات'!$C54+(10^-6)*ROW('الايرادات التبرعات'!$C54)</f>
        <v>500.00005399999998</v>
      </c>
      <c r="E54" s="2"/>
    </row>
    <row r="55" spans="1:5" ht="19.5" customHeight="1">
      <c r="A55" s="2"/>
      <c r="B55" s="10" t="s">
        <v>148</v>
      </c>
      <c r="C55" s="9">
        <v>37</v>
      </c>
      <c r="D55" s="5">
        <f ca="1">'الايرادات التبرعات'!$C55+(10^-6)*ROW('الايرادات التبرعات'!$C55)</f>
        <v>37.000055000000003</v>
      </c>
      <c r="E55" s="2"/>
    </row>
    <row r="56" spans="1:5" ht="19.5" customHeight="1">
      <c r="A56" s="2"/>
      <c r="B56" s="10" t="s">
        <v>149</v>
      </c>
      <c r="C56" s="9">
        <v>400</v>
      </c>
      <c r="D56" s="5">
        <f ca="1">'الايرادات التبرعات'!$C56+(10^-6)*ROW('الايرادات التبرعات'!$C56)</f>
        <v>400.00005599999997</v>
      </c>
      <c r="E56" s="2"/>
    </row>
    <row r="57" spans="1:5" ht="19.5" customHeight="1" thickBot="1">
      <c r="A57" s="2"/>
      <c r="B57" s="10" t="s">
        <v>189</v>
      </c>
      <c r="C57" s="9">
        <v>2028</v>
      </c>
      <c r="D57" s="5">
        <f ca="1">'الايرادات التبرعات'!$C57+(10^-6)*ROW('الايرادات التبرعات'!$C57)</f>
        <v>2028.000057</v>
      </c>
      <c r="E57" s="2"/>
    </row>
    <row r="58" spans="1:5" ht="19.5" customHeight="1" thickTop="1" thickBot="1">
      <c r="A58" s="2"/>
      <c r="B58" s="29" t="s">
        <v>181</v>
      </c>
      <c r="C58" s="30">
        <f>SUBTOTAL(109,C37:C57)</f>
        <v>666179</v>
      </c>
      <c r="D58" s="5">
        <f ca="1">'الايرادات التبرعات'!$C58+(10^-6)*ROW('الايرادات التبرعات'!$C58)</f>
        <v>666179.00005799998</v>
      </c>
      <c r="E58" s="2"/>
    </row>
    <row r="59" spans="1:5" ht="12" customHeight="1" thickTop="1" thickBot="1">
      <c r="A59" s="2"/>
      <c r="B59" s="10"/>
      <c r="C59" s="9"/>
      <c r="D59" s="5">
        <f ca="1">'الايرادات التبرعات'!$C59+(10^-6)*ROW('الايرادات التبرعات'!$C59)</f>
        <v>5.8999999999999998E-5</v>
      </c>
      <c r="E59" s="2"/>
    </row>
    <row r="60" spans="1:5" ht="30" customHeight="1" thickTop="1" thickBot="1">
      <c r="A60" s="2"/>
      <c r="B60" s="37" t="s">
        <v>17</v>
      </c>
      <c r="C60" s="38">
        <f>C24+C35+C58</f>
        <v>10764718.17</v>
      </c>
      <c r="D60" s="13"/>
      <c r="E60" s="2"/>
    </row>
    <row r="61" spans="1:5" ht="30" customHeight="1" thickTop="1"/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"/>
    <dataValidation allowBlank="1" showInputMessage="1" showErrorMessage="1" prompt="أدخل المبلغ &quot;الفعلي&quot; في هذا العمود أسفل هذا العنوان" sqref="C4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rowBreaks count="1" manualBreakCount="1">
    <brk id="35" max="4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20</vt:i4>
      </vt:variant>
    </vt:vector>
  </HeadingPairs>
  <TitlesOfParts>
    <vt:vector size="26" baseType="lpstr">
      <vt:lpstr>الرئيسي </vt:lpstr>
      <vt:lpstr>الايرادات مقابل المصروفات</vt:lpstr>
      <vt:lpstr>ارصدة البنوك</vt:lpstr>
      <vt:lpstr>المصروفات التشغيلية</vt:lpstr>
      <vt:lpstr>مصروفات الاسر</vt:lpstr>
      <vt:lpstr>الايرادات التبرعات</vt:lpstr>
      <vt:lpstr>'ارصدة البنوك'!Print_Area</vt:lpstr>
      <vt:lpstr>'الايرادات التبرعات'!Print_Area</vt:lpstr>
      <vt:lpstr>'الايرادات مقابل المصروفات'!Print_Area</vt:lpstr>
      <vt:lpstr>'الرئيسي '!Print_Area</vt:lpstr>
      <vt:lpstr>'مصروفات الاسر'!Print_Area</vt:lpstr>
      <vt:lpstr>'ارصدة البنوك'!Print_Titles</vt:lpstr>
      <vt:lpstr>'الايرادات التبرعات'!Print_Titles</vt:lpstr>
      <vt:lpstr>'الايرادات مقابل المصروفات'!Print_Titles</vt:lpstr>
      <vt:lpstr>'الرئيسي '!Print_Titles</vt:lpstr>
      <vt:lpstr>'المصروفات التشغيلية'!Print_Titles</vt:lpstr>
      <vt:lpstr>'مصروفات الاسر'!Print_Titles</vt:lpstr>
      <vt:lpstr>الرئيسي</vt:lpstr>
      <vt:lpstr>'ارصدة البنوك'!العنوان_4</vt:lpstr>
      <vt:lpstr>'الايرادات التبرعات'!العنوان_4</vt:lpstr>
      <vt:lpstr>'الايرادات مقابل المصروفات'!العنوان_4</vt:lpstr>
      <vt:lpstr>'الرئيسي '!العنوان_4</vt:lpstr>
      <vt:lpstr>'مصروفات الاسر'!العنوان_4</vt:lpstr>
      <vt:lpstr>العنوان_4</vt:lpstr>
      <vt:lpstr>'الرئيسي '!تاتتالال</vt:lpstr>
      <vt:lpstr>تاتتالال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2019-03-18T21:11:19Z</dcterms:created>
  <dcterms:modified xsi:type="dcterms:W3CDTF">2021-01-07T08:28:58Z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KeyPoints">
    <vt:lpwstr/>
  </property>
</Properties>
</file>