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activeTab="1"/>
  </bookViews>
  <sheets>
    <sheet name="الرئيسي " sheetId="9" r:id="rId1"/>
    <sheet name="الايرادات مقابل المصروفات" sheetId="10" r:id="rId2"/>
    <sheet name="ارصدة البنوك" sheetId="8" r:id="rId3"/>
    <sheet name="المصروفات التشغيلية" sheetId="5" r:id="rId4"/>
    <sheet name="مصروفات الاسر" sheetId="6" r:id="rId5"/>
    <sheet name="الايرادات التبرعات" sheetId="7" r:id="rId6"/>
    <sheet name="الايرادات المستحقة" sheetId="11" r:id="rId7"/>
  </sheets>
  <definedNames>
    <definedName name="_xlnm._FilterDatabase" localSheetId="2" hidden="1">'ارصدة البنوك'!#REF!</definedName>
    <definedName name="_xlnm._FilterDatabase" localSheetId="5" hidden="1">'الايرادات التبرعات'!#REF!</definedName>
    <definedName name="_xlnm._FilterDatabase" localSheetId="6" hidden="1">'الايرادات المستحقة'!#REF!</definedName>
    <definedName name="_xlnm._FilterDatabase" localSheetId="1" hidden="1">'الايرادات مقابل المصروفات'!#REF!</definedName>
    <definedName name="_xlnm._FilterDatabase" localSheetId="0" hidden="1">'الرئيسي '!#REF!</definedName>
    <definedName name="_xlnm._FilterDatabase" localSheetId="3" hidden="1">'المصروفات التشغيلية'!#REF!</definedName>
    <definedName name="_xlnm._FilterDatabase" localSheetId="4" hidden="1">'مصروفات الاسر'!#REF!</definedName>
    <definedName name="BUDGET_Title" localSheetId="6">#REF!</definedName>
    <definedName name="BUDGET_Title" localSheetId="1">#REF!</definedName>
    <definedName name="BUDGET_Title" localSheetId="0">#REF!</definedName>
    <definedName name="BUDGET_Title">#REF!</definedName>
    <definedName name="ColumnTitle1" localSheetId="2">#REF!</definedName>
    <definedName name="ColumnTitle1" localSheetId="5">#REF!</definedName>
    <definedName name="ColumnTitle1" localSheetId="6">#REF!</definedName>
    <definedName name="ColumnTitle1" localSheetId="1">#REF!</definedName>
    <definedName name="ColumnTitle1" localSheetId="0">#REF!</definedName>
    <definedName name="ColumnTitle1" localSheetId="4">#REF!</definedName>
    <definedName name="ColumnTitle1">#REF!</definedName>
    <definedName name="_xlnm.Print_Area" localSheetId="2">'ارصدة البنوك'!$A$1:$F$46</definedName>
    <definedName name="_xlnm.Print_Area" localSheetId="5">'الايرادات التبرعات'!$A$1:$E$42</definedName>
    <definedName name="_xlnm.Print_Area" localSheetId="6">'الايرادات المستحقة'!$A$1:$G$28</definedName>
    <definedName name="_xlnm.Print_Area" localSheetId="1">'الايرادات مقابل المصروفات'!$A$1:$G$10</definedName>
    <definedName name="_xlnm.Print_Area" localSheetId="0">'الرئيسي '!$A$1:$E$9</definedName>
    <definedName name="_xlnm.Print_Area" localSheetId="3">'المصروفات التشغيلية'!$A$1:$G$38</definedName>
    <definedName name="_xlnm.Print_Area" localSheetId="4">'مصروفات الاسر'!$A$1:$E$28</definedName>
    <definedName name="_xlnm.Print_Titles" localSheetId="2">'ارصدة البنوك'!$4:$4</definedName>
    <definedName name="_xlnm.Print_Titles" localSheetId="5">'الايرادات التبرعات'!$4:$4</definedName>
    <definedName name="_xlnm.Print_Titles" localSheetId="6">'الايرادات المستحقة'!$4:$4</definedName>
    <definedName name="_xlnm.Print_Titles" localSheetId="1">'الايرادات مقابل المصروفات'!$4:$4</definedName>
    <definedName name="_xlnm.Print_Titles" localSheetId="0">'الرئيسي '!$4:$4</definedName>
    <definedName name="_xlnm.Print_Titles" localSheetId="3">'المصروفات التشغيلية'!$4:$4</definedName>
    <definedName name="_xlnm.Print_Titles" localSheetId="4">'مصروفات الاسر'!$4:$4</definedName>
    <definedName name="اسم_الشركة" localSheetId="6">#REF!</definedName>
    <definedName name="اسم_الشركة" localSheetId="1">#REF!</definedName>
    <definedName name="اسم_الشركة" localSheetId="0">#REF!</definedName>
    <definedName name="اسم_الشركة">#REF!</definedName>
    <definedName name="الرئيسي" localSheetId="6">'المصروفات التشغيلية'!$B$4</definedName>
    <definedName name="الرئيسي" localSheetId="1">#REF!</definedName>
    <definedName name="الرئيسي">'المصروفات التشغيلية'!$B$4</definedName>
    <definedName name="العنوان_1" localSheetId="2">#REF!</definedName>
    <definedName name="العنوان_1" localSheetId="5">#REF!</definedName>
    <definedName name="العنوان_1" localSheetId="6">#REF!</definedName>
    <definedName name="العنوان_1" localSheetId="1">#REF!</definedName>
    <definedName name="العنوان_1" localSheetId="0">#REF!</definedName>
    <definedName name="العنوان_1" localSheetId="4">#REF!</definedName>
    <definedName name="العنوان_1">#REF!</definedName>
    <definedName name="العنوان_2" localSheetId="2">#REF!</definedName>
    <definedName name="العنوان_2" localSheetId="5">#REF!</definedName>
    <definedName name="العنوان_2" localSheetId="6">#REF!</definedName>
    <definedName name="العنوان_2" localSheetId="1">#REF!</definedName>
    <definedName name="العنوان_2" localSheetId="0">#REF!</definedName>
    <definedName name="العنوان_2" localSheetId="4">#REF!</definedName>
    <definedName name="العنوان_2">#REF!</definedName>
    <definedName name="العنوان_3" localSheetId="6">#REF!</definedName>
    <definedName name="العنوان_3" localSheetId="1">#REF!</definedName>
    <definedName name="العنوان_3" localSheetId="0">#REF!</definedName>
    <definedName name="العنوان_3">#REF!</definedName>
    <definedName name="العنوان_4" localSheetId="2">'ارصدة البنوك'!$B$4</definedName>
    <definedName name="العنوان_4" localSheetId="5">'الايرادات التبرعات'!$B$4</definedName>
    <definedName name="العنوان_4" localSheetId="6">'الايرادات المستحقة'!$B$4</definedName>
    <definedName name="العنوان_4" localSheetId="1">'الايرادات مقابل المصروفات'!$B$4</definedName>
    <definedName name="العنوان_4" localSheetId="0">'الرئيسي '!$B$4</definedName>
    <definedName name="العنوان_4" localSheetId="4">'مصروفات الاسر'!$B$4</definedName>
    <definedName name="العنوان_4">'المصروفات التشغيلية'!$B$4</definedName>
    <definedName name="تاتتالال" localSheetId="6">'المصروفات التشغيلية'!$B$4</definedName>
    <definedName name="تاتتالال" localSheetId="1">#REF!</definedName>
    <definedName name="تاتتالال" localSheetId="0">'المصروفات التشغيلية'!$B$4</definedName>
    <definedName name="تاتتالال">'المصروفات التشغيلية'!$B$4</definedName>
    <definedName name="رئيسي" localSheetId="6">#REF!</definedName>
    <definedName name="رئيسي" localSheetId="1">#REF!</definedName>
    <definedName name="رئيسي">#REF!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D15" i="11"/>
  <c r="D28"/>
  <c r="C8" i="10"/>
  <c r="C5" i="5"/>
  <c r="E5"/>
  <c r="C6"/>
  <c r="D6"/>
  <c r="E6"/>
  <c r="C7"/>
  <c r="D7"/>
  <c r="E7"/>
  <c r="C8"/>
  <c r="D8"/>
  <c r="E8"/>
  <c r="C9"/>
  <c r="D9"/>
  <c r="E9"/>
  <c r="C10"/>
  <c r="D10"/>
  <c r="E10"/>
  <c r="D11"/>
  <c r="E11"/>
  <c r="C12"/>
  <c r="D12"/>
  <c r="E12"/>
  <c r="D13"/>
  <c r="E13"/>
  <c r="C14"/>
  <c r="D14"/>
  <c r="E14"/>
  <c r="C15"/>
  <c r="E15"/>
  <c r="D16"/>
  <c r="E16"/>
  <c r="D17"/>
  <c r="E17"/>
  <c r="C18"/>
  <c r="E18"/>
  <c r="C19"/>
  <c r="D19"/>
  <c r="E19"/>
  <c r="E20"/>
  <c r="E21"/>
  <c r="C22"/>
  <c r="E22"/>
  <c r="C23"/>
  <c r="D23"/>
  <c r="E23"/>
  <c r="C24"/>
  <c r="E24"/>
  <c r="C25"/>
  <c r="D25"/>
  <c r="E25"/>
  <c r="C26"/>
  <c r="E26"/>
  <c r="C27"/>
  <c r="E27"/>
  <c r="C28"/>
  <c r="D28"/>
  <c r="E28"/>
  <c r="C29"/>
  <c r="E29"/>
  <c r="C30"/>
  <c r="E30"/>
  <c r="C31"/>
  <c r="E31"/>
  <c r="E32"/>
  <c r="D33"/>
  <c r="E33"/>
  <c r="E34"/>
  <c r="D35"/>
  <c r="E35"/>
  <c r="D36"/>
  <c r="E36"/>
  <c r="C37"/>
  <c r="E37"/>
  <c r="E38"/>
  <c r="E7" i="10"/>
  <c r="F7"/>
  <c r="C24" i="11"/>
  <c r="C15"/>
  <c r="E15"/>
  <c r="F15"/>
  <c r="E25"/>
  <c r="F25"/>
  <c r="E24"/>
  <c r="F24"/>
  <c r="E23"/>
  <c r="F23"/>
  <c r="E22"/>
  <c r="F22"/>
  <c r="E21"/>
  <c r="F21"/>
  <c r="E20"/>
  <c r="E19"/>
  <c r="F19"/>
  <c r="E18"/>
  <c r="E17"/>
  <c r="F17"/>
  <c r="E16"/>
  <c r="F16"/>
  <c r="E14"/>
  <c r="F14"/>
  <c r="E13"/>
  <c r="E12"/>
  <c r="E11"/>
  <c r="F11"/>
  <c r="E10"/>
  <c r="F10"/>
  <c r="E9"/>
  <c r="F9"/>
  <c r="E8"/>
  <c r="E7"/>
  <c r="E6"/>
  <c r="F13"/>
  <c r="F27"/>
  <c r="F26"/>
  <c r="F20"/>
  <c r="F18"/>
  <c r="F12"/>
  <c r="F8"/>
  <c r="F7"/>
  <c r="F6"/>
  <c r="F5"/>
  <c r="C28"/>
  <c r="E28"/>
  <c r="D9" i="9"/>
  <c r="E10" i="10"/>
  <c r="D6" i="9"/>
  <c r="D6" i="10"/>
  <c r="D5"/>
  <c r="C6"/>
  <c r="C5"/>
  <c r="D46" i="8"/>
  <c r="D44"/>
  <c r="E44"/>
  <c r="D41"/>
  <c r="E41"/>
  <c r="D38"/>
  <c r="E43"/>
  <c r="E38"/>
  <c r="D34"/>
  <c r="E34"/>
  <c r="D27"/>
  <c r="E27"/>
  <c r="E28"/>
  <c r="D22"/>
  <c r="D10" i="10"/>
  <c r="D7" i="9"/>
  <c r="E22" i="8"/>
  <c r="C28" i="6"/>
  <c r="C26"/>
  <c r="C22"/>
  <c r="D22"/>
  <c r="C15"/>
  <c r="D25"/>
  <c r="D26"/>
  <c r="D15"/>
  <c r="C42" i="7"/>
  <c r="C40"/>
  <c r="D41"/>
  <c r="D39"/>
  <c r="C17"/>
  <c r="C28"/>
  <c r="D28"/>
  <c r="F6" i="10"/>
  <c r="F5"/>
  <c r="F8"/>
  <c r="D38" i="7"/>
  <c r="F24" i="5"/>
  <c r="F37"/>
  <c r="D5"/>
  <c r="D38"/>
  <c r="C38"/>
  <c r="F35"/>
  <c r="F36"/>
  <c r="F31"/>
  <c r="F32"/>
  <c r="F33"/>
  <c r="F21"/>
  <c r="F22"/>
  <c r="F17"/>
  <c r="F19"/>
  <c r="D20" i="6"/>
  <c r="D21"/>
  <c r="D19"/>
  <c r="D13"/>
  <c r="D14"/>
  <c r="D11"/>
  <c r="D12"/>
  <c r="D36" i="7"/>
  <c r="D37"/>
  <c r="D40"/>
  <c r="D14"/>
  <c r="D13"/>
  <c r="D12"/>
  <c r="D7"/>
  <c r="D8"/>
  <c r="D9"/>
  <c r="D22"/>
  <c r="D21"/>
  <c r="D24"/>
  <c r="D34"/>
  <c r="D35"/>
  <c r="D30"/>
  <c r="D29"/>
  <c r="D31"/>
  <c r="D32"/>
  <c r="D33"/>
  <c r="D27"/>
  <c r="F14" i="5"/>
  <c r="F12"/>
  <c r="D16" i="7"/>
  <c r="D9" i="6"/>
  <c r="D10"/>
  <c r="F27" i="5"/>
  <c r="F30"/>
  <c r="F34"/>
  <c r="F28"/>
  <c r="F29"/>
  <c r="D17" i="7"/>
  <c r="D10"/>
  <c r="D11"/>
  <c r="E45" i="8"/>
  <c r="E42"/>
  <c r="E40"/>
  <c r="E39"/>
  <c r="E37"/>
  <c r="E36"/>
  <c r="E35"/>
  <c r="E33"/>
  <c r="E32"/>
  <c r="E31"/>
  <c r="E30"/>
  <c r="E29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E7"/>
  <c r="E6"/>
  <c r="E5"/>
  <c r="D26" i="7"/>
  <c r="D25"/>
  <c r="D23"/>
  <c r="D20"/>
  <c r="D19"/>
  <c r="D18"/>
  <c r="D15"/>
  <c r="D6"/>
  <c r="D5"/>
  <c r="D23" i="6"/>
  <c r="D24"/>
  <c r="D27"/>
  <c r="D18"/>
  <c r="D17"/>
  <c r="D16"/>
  <c r="D8"/>
  <c r="D7"/>
  <c r="D6"/>
  <c r="D5"/>
  <c r="F20" i="5"/>
  <c r="F15"/>
  <c r="F18"/>
  <c r="F16"/>
  <c r="F11"/>
  <c r="F8"/>
  <c r="F25"/>
  <c r="F26"/>
  <c r="F13"/>
  <c r="F9"/>
  <c r="F5"/>
  <c r="F7"/>
  <c r="F23"/>
  <c r="F10"/>
  <c r="F6"/>
  <c r="C10" i="10"/>
  <c r="D5" i="9"/>
  <c r="F10" i="10"/>
  <c r="C7" i="9"/>
  <c r="C6"/>
  <c r="D8"/>
</calcChain>
</file>

<file path=xl/sharedStrings.xml><?xml version="1.0" encoding="utf-8"?>
<sst xmlns="http://schemas.openxmlformats.org/spreadsheetml/2006/main" count="208" uniqueCount="173">
  <si>
    <t>المبلغ</t>
  </si>
  <si>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</si>
  <si>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</si>
  <si>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</si>
  <si>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</si>
  <si>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</si>
  <si>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</si>
  <si>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</si>
  <si>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</si>
  <si>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</si>
  <si>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</si>
  <si>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</si>
  <si>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</si>
  <si>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</si>
  <si>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</si>
  <si>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ارصدة البنوك</t>
  </si>
  <si>
    <t>مصرف الراجحي</t>
  </si>
  <si>
    <t>اجمالي الايرادات</t>
  </si>
  <si>
    <t>اسم الحساب</t>
  </si>
  <si>
    <t>رقم الحساب</t>
  </si>
  <si>
    <t>مصرف الانماء</t>
  </si>
  <si>
    <t>بنك الرياض</t>
  </si>
  <si>
    <t>البنك الاهلي</t>
  </si>
  <si>
    <t>بنك سامبا</t>
  </si>
  <si>
    <t>البنك العربي</t>
  </si>
  <si>
    <t>حساب مجمد</t>
  </si>
  <si>
    <t>الزكاة برزان</t>
  </si>
  <si>
    <t>كفالة اليتيم</t>
  </si>
  <si>
    <t>التبرعات العامة</t>
  </si>
  <si>
    <t>كفارة اليمين</t>
  </si>
  <si>
    <t>المتجر</t>
  </si>
  <si>
    <t>الزكاة</t>
  </si>
  <si>
    <t>زكاة الفطر</t>
  </si>
  <si>
    <t>اقراض الزواج</t>
  </si>
  <si>
    <t>المستودع</t>
  </si>
  <si>
    <t>إفطار الصائم</t>
  </si>
  <si>
    <t>ايادينا</t>
  </si>
  <si>
    <t>الاستثمار</t>
  </si>
  <si>
    <t>الحساب العام</t>
  </si>
  <si>
    <t>تبرعات</t>
  </si>
  <si>
    <t>زكاة</t>
  </si>
  <si>
    <t>تبرعات نقدية للحالات الطارئة في المتجر</t>
  </si>
  <si>
    <t>دعم الوزارة</t>
  </si>
  <si>
    <t>تبرع نقدي عام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</si>
  <si>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</si>
  <si>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</si>
  <si>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</si>
  <si>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</si>
  <si>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2</t>
  </si>
  <si>
    <t>مطعم المأكولات البحرية</t>
  </si>
  <si>
    <t>الروضة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</si>
  <si>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</si>
  <si>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</si>
  <si>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</si>
  <si>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</si>
  <si>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</si>
  <si>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</si>
  <si>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</si>
  <si>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</si>
  <si>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</si>
  <si>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</si>
  <si>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</si>
  <si>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</si>
  <si>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</si>
  <si>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</si>
  <si>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</si>
  <si>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سداد الديون من مؤسسة المحيسن الخيرية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</si>
  <si>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</si>
  <si>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</si>
  <si>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</si>
  <si>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مساعدات عينية عامة من المستودع</t>
  </si>
  <si>
    <t>مساعدات عينية عامة من المتجر</t>
  </si>
  <si>
    <t>دعم للمستودع الخيري</t>
  </si>
  <si>
    <t>التأمين الطبي</t>
  </si>
  <si>
    <t>مكافات</t>
  </si>
  <si>
    <t>أدوات مكتبية</t>
  </si>
  <si>
    <t>استشارات قانونية</t>
  </si>
  <si>
    <t>مشتريات لتشغيل المتجر</t>
  </si>
  <si>
    <t>القيمة</t>
  </si>
  <si>
    <t>ايجار الاستثمار</t>
  </si>
  <si>
    <t>مساعدات العجز - زكاة</t>
  </si>
  <si>
    <t>مساعدات الارامل - زكاة</t>
  </si>
  <si>
    <t>مساعدات المطلقات - زكاة</t>
  </si>
  <si>
    <t>الصالة رقم 1</t>
  </si>
  <si>
    <t xml:space="preserve">محل الذهب - برزان </t>
  </si>
  <si>
    <t xml:space="preserve">محل النظارات - البشيت </t>
  </si>
  <si>
    <t>مبيعات الملابس المستعملة</t>
  </si>
  <si>
    <t xml:space="preserve">رسوم العضوية </t>
  </si>
  <si>
    <t xml:space="preserve">تبرعات عينية عامة </t>
  </si>
  <si>
    <t xml:space="preserve">تبرعات كفارة اليمين نقدي </t>
  </si>
  <si>
    <t xml:space="preserve">تبرعات إفطار صائم نقدي </t>
  </si>
  <si>
    <t xml:space="preserve">دعم مؤسسة العجيمي الخيرية </t>
  </si>
  <si>
    <t xml:space="preserve">دعم مؤسسة حمد عبد الكريم المهيدب </t>
  </si>
  <si>
    <t>دعم مؤسسة العجيمي لتأسيس شقق الإسكان</t>
  </si>
  <si>
    <t xml:space="preserve">دعم مؤسسة المحيسن الخيرية </t>
  </si>
  <si>
    <t xml:space="preserve">مبادرة الجسد الواحد </t>
  </si>
  <si>
    <t xml:space="preserve">شقة رقم 3 - عمارة طريق الملك خالد </t>
  </si>
  <si>
    <t xml:space="preserve">الصالة رقم 8 - الفتحة 1 </t>
  </si>
  <si>
    <t xml:space="preserve">الصالة رقم 8 - الفتحة 2 </t>
  </si>
  <si>
    <t>مساعدات نقدية للحالات الطارئة المشروطة</t>
  </si>
  <si>
    <t xml:space="preserve">دعم لأسر العجيمي الخيرية </t>
  </si>
  <si>
    <t xml:space="preserve">مكافأة مؤسسة العجيمي للباحثين </t>
  </si>
  <si>
    <t xml:space="preserve">سداد دين دعم مؤسسة المهيدب </t>
  </si>
  <si>
    <t>أجهزة كهربائية - دعم العجيمي للاسكان</t>
  </si>
  <si>
    <t xml:space="preserve">مفروشات - دعم العجيمي للاسكان </t>
  </si>
  <si>
    <t xml:space="preserve"> </t>
  </si>
  <si>
    <t>البيان</t>
  </si>
  <si>
    <t xml:space="preserve">اجمالي الإيرادات </t>
  </si>
  <si>
    <t xml:space="preserve">اجمالي المصروفات التشغيلية </t>
  </si>
  <si>
    <t xml:space="preserve">اجمالي مصروفات الاسر </t>
  </si>
  <si>
    <t>النسبة المئوية</t>
  </si>
  <si>
    <t>اجمالي إيرادات البنوك</t>
  </si>
  <si>
    <t>هاتف</t>
  </si>
  <si>
    <t xml:space="preserve">بريد </t>
  </si>
  <si>
    <t xml:space="preserve">كهرباء </t>
  </si>
  <si>
    <t>مياه</t>
  </si>
  <si>
    <t xml:space="preserve">صيانة المباني </t>
  </si>
  <si>
    <t>صيانة الأجهزة</t>
  </si>
  <si>
    <t>صيانة السيارات</t>
  </si>
  <si>
    <t>عمولة بنكية</t>
  </si>
  <si>
    <t xml:space="preserve">تأمين السيارات </t>
  </si>
  <si>
    <t xml:space="preserve">رسوم تجديد رخصة السائق </t>
  </si>
  <si>
    <t xml:space="preserve">الوقود والمحروقات </t>
  </si>
  <si>
    <t xml:space="preserve">تجديد اقامات </t>
  </si>
  <si>
    <t xml:space="preserve">تأشيرات </t>
  </si>
  <si>
    <t xml:space="preserve">راتب الاجازة </t>
  </si>
  <si>
    <t>اجمالي الفائض</t>
  </si>
  <si>
    <t xml:space="preserve">مصاريف الصرف الصحي </t>
  </si>
  <si>
    <t>صيانة وإصلاح للمباني المؤجرة</t>
  </si>
  <si>
    <t>مصاريف الصيانة لتسكين الاسر</t>
  </si>
  <si>
    <t>ايرادات اخرى</t>
  </si>
  <si>
    <t xml:space="preserve">تحليل الايرادات مقابل المصروفات </t>
  </si>
  <si>
    <t>الايراد</t>
  </si>
  <si>
    <t>التشغيلية</t>
  </si>
  <si>
    <t>الفائض او العجز</t>
  </si>
  <si>
    <t>المقيدة</t>
  </si>
  <si>
    <t>الغير مقيدة</t>
  </si>
  <si>
    <t>الاستثمار - ( ايجارات 2020 + تحصيل المتأخرات من العام 2019 )</t>
  </si>
  <si>
    <t>مجموع الايردات المقيدة</t>
  </si>
  <si>
    <t>مجموع الايردات الغير مقيدة</t>
  </si>
  <si>
    <t>مجموع اياردات الاستثمار</t>
  </si>
  <si>
    <t>مجموع المصروفات النقدية المقيدة</t>
  </si>
  <si>
    <t>مجموع المصروفات العينية المقيدة</t>
  </si>
  <si>
    <t>مجموع المصروفات العينية غير المقيدة</t>
  </si>
  <si>
    <t>الاجمالي</t>
  </si>
  <si>
    <t>اجمالي الينوك</t>
  </si>
  <si>
    <t>الاجماليات</t>
  </si>
  <si>
    <t>للفترة من 2020/1/1 الى 2020/3/31</t>
  </si>
  <si>
    <t xml:space="preserve">تحليل مالي عن الفترة من تاريخ 2020/1/1م الى 2020/03/31م </t>
  </si>
  <si>
    <t xml:space="preserve">تقرير  عن الفترة من تاريخ 2020/1/1م الى 2020/03/31م </t>
  </si>
  <si>
    <t xml:space="preserve">المصروفات التشغيلية </t>
  </si>
  <si>
    <t>الايرادات المستحقة</t>
  </si>
  <si>
    <t>عمارة صديان ( الندى )</t>
  </si>
  <si>
    <t>رصيد افتتاحي</t>
  </si>
  <si>
    <t>السداد خلال العام</t>
  </si>
  <si>
    <t>الرصيد في 2020/3/31</t>
  </si>
  <si>
    <t>الايرادات المستحقة ( متأخرات )</t>
  </si>
  <si>
    <t>الصالة رقم 3</t>
  </si>
  <si>
    <t>الصالة رقم 4</t>
  </si>
  <si>
    <t>الصالة رقم 5</t>
  </si>
  <si>
    <t>صالات معرض الشارقة</t>
  </si>
  <si>
    <t>ايجار الروضة</t>
  </si>
  <si>
    <t>ايجار المدارس</t>
  </si>
  <si>
    <t>المحطة وملحقاتها</t>
  </si>
  <si>
    <t>صراف البنك الاهلي</t>
  </si>
  <si>
    <t>محل باسكن روبنز</t>
  </si>
  <si>
    <t>محل مقابل الدائري - محمد الظاهر</t>
  </si>
  <si>
    <t>ارض جوار المسجد</t>
  </si>
  <si>
    <t>محل النظارات - البشيت</t>
  </si>
  <si>
    <t>محل النظارات - شعيب 1</t>
  </si>
  <si>
    <t>ايجار ابراهيم البلوي</t>
  </si>
  <si>
    <t>عمارة الشفاء ولبدة</t>
  </si>
  <si>
    <t>رسوم دراسية</t>
  </si>
</sst>
</file>

<file path=xl/styles.xml><?xml version="1.0" encoding="utf-8"?>
<styleSheet xmlns="http://schemas.openxmlformats.org/spreadsheetml/2006/main">
  <numFmts count="7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  <numFmt numFmtId="168" formatCode="#,##0;[Red]#,##0"/>
  </numFmts>
  <fonts count="27">
    <font>
      <sz val="11"/>
      <color theme="1"/>
      <name val="Tahoma"/>
      <family val="2"/>
    </font>
    <font>
      <sz val="11"/>
      <color indexed="8"/>
      <name val="Tahoma"/>
      <family val="2"/>
    </font>
    <font>
      <sz val="16"/>
      <color indexed="57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  <family val="2"/>
    </font>
    <font>
      <sz val="10"/>
      <name val="Arial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right" wrapText="1" indent="1" readingOrder="2"/>
    </xf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6" applyNumberFormat="0" applyAlignment="0" applyProtection="0"/>
    <xf numFmtId="0" fontId="15" fillId="30" borderId="7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0" applyNumberFormat="0" applyFill="0" applyAlignment="0" applyProtection="0"/>
    <xf numFmtId="0" fontId="19" fillId="32" borderId="0" applyBorder="0" applyProtection="0">
      <alignment horizontal="left" vertical="center" indent="1"/>
    </xf>
    <xf numFmtId="0" fontId="19" fillId="32" borderId="0" applyNumberFormat="0" applyBorder="0" applyProtection="0">
      <alignment horizontal="left" vertical="center"/>
    </xf>
    <xf numFmtId="0" fontId="20" fillId="0" borderId="0" applyNumberFormat="0" applyFill="0" applyBorder="0" applyAlignment="0" applyProtection="0"/>
    <xf numFmtId="0" fontId="21" fillId="33" borderId="6" applyNumberFormat="0" applyAlignment="0" applyProtection="0"/>
    <xf numFmtId="0" fontId="22" fillId="0" borderId="8" applyNumberFormat="0" applyFill="0" applyAlignment="0" applyProtection="0"/>
    <xf numFmtId="0" fontId="23" fillId="34" borderId="0" applyNumberFormat="0" applyBorder="0" applyAlignment="0" applyProtection="0"/>
    <xf numFmtId="0" fontId="7" fillId="0" borderId="0"/>
    <xf numFmtId="0" fontId="1" fillId="35" borderId="9" applyNumberFormat="0" applyFont="0" applyAlignment="0" applyProtection="0"/>
    <xf numFmtId="0" fontId="24" fillId="29" borderId="10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5" fillId="0" borderId="0" applyNumberFormat="0" applyFill="0" applyBorder="0" applyAlignment="0" applyProtection="0">
      <alignment readingOrder="2"/>
    </xf>
    <xf numFmtId="0" fontId="10" fillId="0" borderId="0" applyNumberFormat="0" applyFill="0" applyAlignment="0" applyProtection="0"/>
    <xf numFmtId="0" fontId="26" fillId="0" borderId="0" applyNumberFormat="0" applyFill="0" applyBorder="0" applyAlignment="0" applyProtection="0"/>
    <xf numFmtId="165" fontId="20" fillId="3" borderId="0" applyFill="0" applyBorder="0">
      <alignment horizontal="right" readingOrder="2"/>
    </xf>
  </cellStyleXfs>
  <cellXfs count="62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19" fillId="32" borderId="0" xfId="35" applyAlignment="1">
      <alignment horizontal="right" vertical="center" indent="1" readingOrder="2"/>
    </xf>
    <xf numFmtId="0" fontId="19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9" fillId="32" borderId="0" xfId="36" applyAlignment="1">
      <alignment horizontal="center" vertical="center" readingOrder="2"/>
    </xf>
    <xf numFmtId="0" fontId="19" fillId="32" borderId="0" xfId="35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7" fontId="1" fillId="2" borderId="0" xfId="28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6" fillId="0" borderId="0" xfId="0" applyNumberFormat="1" applyFont="1" applyAlignment="1">
      <alignment horizontal="center" vertical="center" wrapText="1" readingOrder="2"/>
    </xf>
    <xf numFmtId="167" fontId="6" fillId="0" borderId="0" xfId="0" applyNumberFormat="1" applyFont="1" applyAlignment="1">
      <alignment horizontal="right" wrapText="1" readingOrder="2"/>
    </xf>
    <xf numFmtId="167" fontId="0" fillId="0" borderId="0" xfId="28" applyFont="1" applyAlignment="1">
      <alignment horizontal="center" vertical="center" wrapText="1" readingOrder="2"/>
    </xf>
    <xf numFmtId="167" fontId="0" fillId="2" borderId="1" xfId="28" applyNumberFormat="1" applyFont="1" applyFill="1" applyBorder="1" applyAlignment="1">
      <alignment horizontal="center" vertical="center" wrapText="1" readingOrder="2"/>
    </xf>
    <xf numFmtId="0" fontId="0" fillId="2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wrapText="1" readingOrder="2"/>
    </xf>
    <xf numFmtId="1" fontId="0" fillId="0" borderId="0" xfId="0" applyNumberFormat="1" applyAlignment="1">
      <alignment horizontal="center" vertical="center" wrapText="1" readingOrder="2"/>
    </xf>
    <xf numFmtId="9" fontId="0" fillId="0" borderId="0" xfId="44" applyNumberFormat="1" applyFont="1" applyAlignment="1">
      <alignment horizontal="center" vertical="center" readingOrder="2"/>
    </xf>
    <xf numFmtId="9" fontId="0" fillId="2" borderId="1" xfId="44" applyNumberFormat="1" applyFont="1" applyFill="1" applyBorder="1" applyAlignment="1">
      <alignment horizontal="center" vertical="center" readingOrder="2"/>
    </xf>
    <xf numFmtId="0" fontId="0" fillId="0" borderId="0" xfId="28" applyNumberFormat="1" applyFont="1" applyAlignment="1">
      <alignment horizontal="center" vertical="center" wrapText="1" readingOrder="2"/>
    </xf>
    <xf numFmtId="0" fontId="0" fillId="0" borderId="0" xfId="0" applyNumberFormat="1" applyAlignment="1">
      <alignment horizontal="center" vertical="center" wrapText="1" readingOrder="2"/>
    </xf>
    <xf numFmtId="167" fontId="1" fillId="2" borderId="0" xfId="28" applyNumberFormat="1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167" fontId="8" fillId="2" borderId="2" xfId="28" applyFont="1" applyFill="1" applyBorder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0" fontId="8" fillId="0" borderId="3" xfId="0" applyFont="1" applyBorder="1" applyAlignment="1">
      <alignment horizontal="center" vertical="center" wrapText="1" readingOrder="2"/>
    </xf>
    <xf numFmtId="167" fontId="8" fillId="2" borderId="3" xfId="28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readingOrder="2"/>
    </xf>
    <xf numFmtId="167" fontId="8" fillId="0" borderId="2" xfId="0" applyNumberFormat="1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readingOrder="2"/>
    </xf>
    <xf numFmtId="167" fontId="8" fillId="0" borderId="4" xfId="0" applyNumberFormat="1" applyFont="1" applyBorder="1" applyAlignment="1">
      <alignment horizontal="center" vertical="center" wrapText="1" readingOrder="2"/>
    </xf>
    <xf numFmtId="0" fontId="8" fillId="2" borderId="5" xfId="0" applyFont="1" applyFill="1" applyBorder="1" applyAlignment="1" applyProtection="1">
      <alignment horizontal="center" vertical="center" wrapText="1" readingOrder="2"/>
      <protection locked="0"/>
    </xf>
    <xf numFmtId="3" fontId="8" fillId="2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2" xfId="0" applyFont="1" applyBorder="1" applyAlignment="1" applyProtection="1">
      <alignment horizontal="center" vertical="center" wrapText="1" readingOrder="2"/>
      <protection locked="0"/>
    </xf>
    <xf numFmtId="0" fontId="0" fillId="3" borderId="0" xfId="0" applyFill="1" applyAlignment="1" applyProtection="1">
      <alignment horizontal="right" wrapText="1" indent="1" readingOrder="2"/>
      <protection locked="0"/>
    </xf>
    <xf numFmtId="0" fontId="0" fillId="0" borderId="0" xfId="0" applyProtection="1">
      <alignment horizontal="right" wrapText="1" indent="1" readingOrder="2"/>
      <protection locked="0"/>
    </xf>
    <xf numFmtId="0" fontId="19" fillId="32" borderId="0" xfId="35" applyAlignment="1" applyProtection="1">
      <alignment horizontal="center" vertical="center" readingOrder="2"/>
      <protection locked="0"/>
    </xf>
    <xf numFmtId="0" fontId="19" fillId="32" borderId="0" xfId="36" applyAlignment="1" applyProtection="1">
      <alignment horizontal="center" vertical="center" readingOrder="2"/>
      <protection locked="0"/>
    </xf>
    <xf numFmtId="0" fontId="19" fillId="32" borderId="0" xfId="35" applyAlignment="1" applyProtection="1">
      <alignment horizontal="right" vertical="center" indent="1" readingOrder="2"/>
      <protection locked="0"/>
    </xf>
    <xf numFmtId="0" fontId="5" fillId="0" borderId="0" xfId="0" applyFont="1" applyAlignment="1" applyProtection="1">
      <alignment horizontal="center" vertical="center" wrapText="1" readingOrder="2"/>
      <protection locked="0"/>
    </xf>
    <xf numFmtId="167" fontId="1" fillId="2" borderId="0" xfId="28" applyFont="1" applyFill="1" applyAlignment="1" applyProtection="1">
      <alignment horizontal="center" vertical="center" wrapText="1" readingOrder="2"/>
      <protection locked="0"/>
    </xf>
    <xf numFmtId="167" fontId="0" fillId="0" borderId="0" xfId="28" applyFont="1" applyAlignment="1" applyProtection="1">
      <alignment horizontal="right" wrapText="1" readingOrder="2"/>
      <protection locked="0"/>
    </xf>
    <xf numFmtId="0" fontId="0" fillId="0" borderId="0" xfId="0" applyAlignment="1" applyProtection="1">
      <alignment horizontal="center" vertical="center" wrapText="1" readingOrder="2"/>
      <protection locked="0"/>
    </xf>
    <xf numFmtId="167" fontId="8" fillId="2" borderId="2" xfId="28" applyFont="1" applyFill="1" applyBorder="1" applyAlignment="1" applyProtection="1">
      <alignment horizontal="center" vertical="center" wrapText="1" readingOrder="2"/>
      <protection locked="0"/>
    </xf>
    <xf numFmtId="0" fontId="8" fillId="0" borderId="2" xfId="0" applyFont="1" applyBorder="1" applyAlignment="1" applyProtection="1">
      <alignment horizontal="center" vertical="center" readingOrder="2"/>
      <protection locked="0"/>
    </xf>
    <xf numFmtId="167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167" fontId="0" fillId="0" borderId="0" xfId="0" applyNumberFormat="1" applyFont="1" applyAlignment="1" applyProtection="1">
      <alignment horizontal="right" wrapText="1" readingOrder="2"/>
      <protection locked="0"/>
    </xf>
    <xf numFmtId="0" fontId="0" fillId="3" borderId="0" xfId="0" applyFill="1" applyProtection="1">
      <alignment horizontal="right" wrapText="1" indent="1" readingOrder="2"/>
      <protection locked="0"/>
    </xf>
    <xf numFmtId="0" fontId="19" fillId="32" borderId="0" xfId="36" applyAlignment="1">
      <alignment horizontal="right" vertical="center" wrapText="1" inden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 wrapText="1" readingOrder="2"/>
    </xf>
    <xf numFmtId="168" fontId="9" fillId="0" borderId="2" xfId="0" applyNumberFormat="1" applyFont="1" applyBorder="1" applyAlignment="1">
      <alignment horizontal="center" vertical="center" wrapText="1" readingOrder="2"/>
    </xf>
    <xf numFmtId="0" fontId="2" fillId="3" borderId="0" xfId="34" applyFont="1" applyFill="1" applyAlignment="1">
      <alignment horizontal="center" vertical="center" readingOrder="2"/>
    </xf>
    <xf numFmtId="0" fontId="4" fillId="3" borderId="0" xfId="45" applyFont="1" applyFill="1" applyAlignment="1">
      <alignment horizontal="center" vertical="center" readingOrder="2"/>
    </xf>
    <xf numFmtId="0" fontId="3" fillId="3" borderId="0" xfId="45" applyFont="1" applyFill="1" applyAlignment="1">
      <alignment horizontal="center" vertical="center" readingOrder="2"/>
    </xf>
    <xf numFmtId="0" fontId="18" fillId="3" borderId="0" xfId="34" applyFill="1" applyAlignment="1" applyProtection="1">
      <alignment horizontal="center" vertical="center" readingOrder="2"/>
      <protection locked="0"/>
    </xf>
    <xf numFmtId="0" fontId="4" fillId="3" borderId="0" xfId="45" applyFont="1" applyFill="1" applyAlignment="1" applyProtection="1">
      <alignment horizontal="center" vertical="center" readingOrder="2"/>
      <protection locked="0"/>
    </xf>
    <xf numFmtId="0" fontId="3" fillId="3" borderId="0" xfId="45" applyFont="1" applyFill="1" applyAlignment="1" applyProtection="1">
      <alignment horizontal="center" vertical="center" readingOrder="2"/>
      <protection locked="0"/>
    </xf>
    <xf numFmtId="0" fontId="18" fillId="3" borderId="0" xfId="34" applyFill="1" applyAlignment="1">
      <alignment horizontal="center" vertical="center" readingOrder="2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rmal 2" xfId="41"/>
    <cellStyle name="Note" xfId="42" builtinId="10" customBuiltin="1"/>
    <cellStyle name="Output" xfId="43" builtinId="21" customBuiltin="1"/>
    <cellStyle name="Percent" xfId="44" builtinId="5" customBuiltin="1"/>
    <cellStyle name="Title" xfId="45" builtinId="15" customBuiltin="1"/>
    <cellStyle name="Total" xfId="46" builtinId="25" customBuiltin="1"/>
    <cellStyle name="Warning Text" xfId="47" builtinId="11" customBuiltin="1"/>
    <cellStyle name="التاريخ" xfId="48"/>
  </cellStyles>
  <dxfs count="79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7" formatCode="#,##0.00_ ;[Red]\-#,##0.00\ 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0" formatCode="General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0" formatCode="General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</font>
      <alignment horizontal="center" vertical="center" textRotation="0" wrapText="0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protection locked="0" hidden="0"/>
    </dxf>
    <dxf>
      <protection locked="0" hidden="0"/>
    </dxf>
    <dxf>
      <alignment vertical="center" textRotation="0" wrapText="0" indent="0" relativeIndent="255" justifyLastLine="0" shrinkToFit="0" readingOrder="0"/>
      <protection locked="0" hidden="0"/>
    </dxf>
    <dxf>
      <alignment horizontal="right" vertical="bottom" textRotation="0" wrapText="1" indent="0" relativeIndent="255" justifyLastLine="0" shrinkToFit="0" readingOrder="2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  <protection locked="0" hidden="0"/>
    </dxf>
    <dxf>
      <alignment horizontal="center" vertical="center" textRotation="0" wrapText="1" indent="0" relativeIndent="255" justifyLastLine="0" shrinkToFit="0" readingOrder="2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alignment horizontal="center" vertical="center" textRotation="0" wrapText="1" indent="0" relativeIndent="255" justifyLastLine="0" shrinkToFit="0" readingOrder="2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alignment horizontal="center" vertical="center" textRotation="0" indent="0" relativeIndent="255" justifyLastLine="0" shrinkToFit="0" readingOrder="2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alignment horizontal="center" vertical="center" textRotation="0" wrapText="0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alignment horizontal="center" vertical="center" textRotation="0" wrapText="1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numFmt numFmtId="1" formatCode="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78"/>
      <tableStyleElement type="headerRow" dxfId="77"/>
      <tableStyleElement type="totalRow" dxfId="76"/>
      <tableStyleElement type="lastColumn" dxfId="75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النفقات_التشغيلية3462" displayName="النفقات_التشغيلية3462" ref="B4:D8" totalsRowCount="1" headerRowDxfId="68" dataDxfId="67" totalsRowDxfId="66">
  <autoFilter ref="B4:D7"/>
  <sortState ref="B5:D24">
    <sortCondition ref="B4:B24"/>
  </sortState>
  <tableColumns count="3">
    <tableColumn id="1" name="البيان" totalsRowLabel="اجمالي الفائض" dataDxfId="73" totalsRowDxfId="74"/>
    <tableColumn id="2" name="النسبة المئوية" dataDxfId="71" totalsRowDxfId="72" dataCellStyle="Percent">
      <calculatedColumnFormula>'الرئيسي '!$D5/D3</calculatedColumnFormula>
    </tableColumn>
    <tableColumn id="3" name="المبلغ" totalsRowFunction="custom" dataDxfId="69" totalsRowDxfId="70" dataCellStyle="Comma">
      <calculatedColumnFormula>'الايرادات مقابل المصروفات'!D8</calculatedColumnFormula>
      <totalsRowFormula>D5-D6-D7</totalsRow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4" name="النفقات_التشغيلية34625" displayName="النفقات_التشغيلية34625" ref="B4:F8" totalsRowShown="0" headerRowDxfId="55" headerRowCellStyle="Heading 2">
  <autoFilter ref="B4:F8"/>
  <sortState ref="B5:D24">
    <sortCondition ref="B4:B24"/>
  </sortState>
  <tableColumns count="5">
    <tableColumn id="1" name="البيان" dataDxfId="60" totalsRowDxfId="65"/>
    <tableColumn id="2" name="الايراد" dataDxfId="59" totalsRowDxfId="64" dataCellStyle="Percent">
      <calculatedColumnFormula>'الايرادات المستحقة'!$D$28</calculatedColumnFormula>
    </tableColumn>
    <tableColumn id="4" name="مصروفات الاسر " dataDxfId="58" totalsRowDxfId="63"/>
    <tableColumn id="5" name="التشغيلية" dataDxfId="57" totalsRowDxfId="62"/>
    <tableColumn id="3" name="الفائض او العجز" dataDxfId="56" totalsRowDxfId="61" dataCellStyle="Comma">
      <calculatedColumnFormula>'الايرادات مقابل المصروفات'!$C5-'الايرادات مقابل المصروفات'!$D5-'الايرادات مقابل المصروفات'!$E5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5" name="النفقات_التشغيلية346" displayName="النفقات_التشغيلية346" ref="B4:E46" totalsRowCount="1" headerRowDxfId="46" dataDxfId="45" totalsRowDxfId="44">
  <autoFilter ref="B4:E45"/>
  <sortState ref="B5:D24">
    <sortCondition ref="B4:B24"/>
  </sortState>
  <tableColumns count="4">
    <tableColumn id="1" name="رقم الحساب" totalsRowLabel="اجمالي الينوك" dataDxfId="53" totalsRowDxfId="54"/>
    <tableColumn id="2" name="اسم الحساب" dataDxfId="51" totalsRowDxfId="52"/>
    <tableColumn id="3" name="المبلغ" totalsRowFunction="custom" dataDxfId="49" totalsRowDxfId="50" dataCellStyle="Comma">
      <totalsRowFormula>D22+D27+D34+D38+D41+D44</totalsRowFormula>
    </tableColumn>
    <tableColumn id="5" name="أعلى 5 مبالغ" dataDxfId="47" totalsRowDxfId="48" dataCellStyle="Comma">
      <calculatedColumnFormula>'ارصدة البنوك'!$D5+(10^-6)*ROW('ارصدة البنوك'!$D5)</calculatedColumnFormula>
    </tableColumn>
  </tableColumns>
  <tableStyleInfo name="موازنة شهرية" showFirstColumn="0" showLastColumn="1" showRowStripes="0" showColumnStripes="0"/>
</table>
</file>

<file path=xl/tables/table4.xml><?xml version="1.0" encoding="utf-8"?>
<table xmlns="http://schemas.openxmlformats.org/spreadsheetml/2006/main" id="9" name="النفقات_التشغيلية" displayName="النفقات_التشغيلية" ref="B4:F38" totalsRowCount="1" headerRowDxfId="33" dataDxfId="32" totalsRowDxfId="31">
  <autoFilter ref="B4:F37"/>
  <sortState ref="B5:E23">
    <sortCondition ref="B4:B23"/>
  </sortState>
  <tableColumns count="5">
    <tableColumn id="1" name="المصروفات التشغيلية" totalsRowLabel="إجمالي المصروفات التشغيلية" dataDxfId="42" totalsRowDxfId="43"/>
    <tableColumn id="2" name="الادراة" totalsRowFunction="sum" dataDxfId="40" totalsRowDxfId="41" dataCellStyle="Comma">
      <calculatedColumnFormula>170</calculatedColumnFormula>
    </tableColumn>
    <tableColumn id="6" name="المستودع والمتجر" totalsRowFunction="sum" dataDxfId="38" totalsRowDxfId="39"/>
    <tableColumn id="3" name="المجموع" totalsRowFunction="sum" dataDxfId="36" totalsRowDxfId="37" dataCellStyle="Comma">
      <calculatedColumnFormula>'المصروفات التشغيلية'!$C5+'المصروفات التشغيلية'!$D5</calculatedColumnFormula>
    </tableColumn>
    <tableColumn id="5" name="أعلى 5 مبالغ" dataDxfId="34" totalsRowDxfId="35" dataCellStyle="Comma">
      <calculatedColumnFormula>'المصروفات التشغيلية'!$E5+(10^-6)*ROW('المصروفات التشغيلية'!$E5)</calculatedColumnFormula>
    </tableColumn>
  </tableColumns>
  <tableStyleInfo name="موازنة شهرية" showFirstColumn="0" showLastColumn="1" showRowStripes="0" showColumnStripes="0"/>
</table>
</file>

<file path=xl/tables/table5.xml><?xml version="1.0" encoding="utf-8"?>
<table xmlns="http://schemas.openxmlformats.org/spreadsheetml/2006/main" id="2" name="النفقات_التشغيلية3" displayName="النفقات_التشغيلية3" ref="B4:D28" totalsRowCount="1" headerRowDxfId="24" dataDxfId="23" totalsRowDxfId="22">
  <autoFilter ref="B4:D27"/>
  <sortState ref="B5:D17">
    <sortCondition ref="B4:B17"/>
  </sortState>
  <tableColumns count="3">
    <tableColumn id="1" name="مصروفات الاسر " totalsRowLabel="اجمالي مصروفات الاسر" dataDxfId="29" totalsRowDxfId="30"/>
    <tableColumn id="3" name="القيمة" totalsRowFunction="custom" dataDxfId="27" totalsRowDxfId="28" dataCellStyle="Comma">
      <totalsRowFormula>C15+C22+C26</totalsRowFormula>
    </tableColumn>
    <tableColumn id="5" name="أعلى 5 مبالغ" dataDxfId="25" totalsRowDxfId="26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6.xml><?xml version="1.0" encoding="utf-8"?>
<table xmlns="http://schemas.openxmlformats.org/spreadsheetml/2006/main" id="3" name="النفقات_التشغيلية34" displayName="النفقات_التشغيلية34" ref="B4:D42" totalsRowCount="1" headerRowDxfId="15" dataDxfId="14" totalsRowDxfId="13">
  <autoFilter ref="B4:D41"/>
  <sortState ref="B5:D10">
    <sortCondition ref="B4:B10"/>
  </sortState>
  <tableColumns count="3">
    <tableColumn id="1" name="الايرادات" totalsRowLabel="اجمالي الايرادات" dataDxfId="20" totalsRowDxfId="21"/>
    <tableColumn id="3" name="الفعلي" totalsRowFunction="custom" dataDxfId="18" totalsRowDxfId="19" dataCellStyle="Comma">
      <totalsRowFormula>C17+C28+C40</totalsRowFormula>
    </tableColumn>
    <tableColumn id="5" name="أعلى 5 مبالغ" dataDxfId="16" totalsRowDxfId="17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ables/table7.xml><?xml version="1.0" encoding="utf-8"?>
<table xmlns="http://schemas.openxmlformats.org/spreadsheetml/2006/main" id="6" name="النفقات_التشغيلية347" displayName="النفقات_التشغيلية347" ref="B4:F28" totalsRowCount="1" headerRowDxfId="2" dataDxfId="1" totalsRowDxfId="0">
  <autoFilter ref="B4:F27"/>
  <sortState ref="B5:D10">
    <sortCondition ref="B4:B10"/>
  </sortState>
  <tableColumns count="5">
    <tableColumn id="1" name="الايرادات" totalsRowLabel="اجمالي الايرادات" dataDxfId="11" totalsRowDxfId="12"/>
    <tableColumn id="2" name="رصيد افتتاحي" totalsRowFunction="sum" dataDxfId="9" totalsRowDxfId="10"/>
    <tableColumn id="4" name="السداد خلال العام" totalsRowFunction="sum" dataDxfId="7" totalsRowDxfId="8"/>
    <tableColumn id="3" name="الرصيد في 2020/3/31" totalsRowFunction="sum" dataDxfId="5" totalsRowDxfId="6" dataCellStyle="Comma"/>
    <tableColumn id="5" name="أعلى 5 مبالغ" dataDxfId="3" totalsRowDxfId="4" dataCellStyle="Comma">
      <calculatedColumnFormula>'الايرادات المستحقة'!$E5+(10^-6)*ROW('الايرادات المستحقة'!$E5)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9"/>
  <sheetViews>
    <sheetView showGridLines="0" rightToLeft="1" zoomScaleNormal="100" workbookViewId="0">
      <selection activeCell="B1" sqref="B1:E1"/>
    </sheetView>
  </sheetViews>
  <sheetFormatPr defaultColWidth="8.875" defaultRowHeight="30" customHeight="1"/>
  <cols>
    <col min="1" max="1" width="4" style="1" customWidth="1"/>
    <col min="2" max="2" width="28.125" style="1" customWidth="1"/>
    <col min="3" max="4" width="16.75" style="1" customWidth="1"/>
    <col min="5" max="5" width="4" style="1" customWidth="1"/>
    <col min="6" max="6" width="4" customWidth="1"/>
  </cols>
  <sheetData>
    <row r="1" spans="1:5" ht="21" customHeight="1">
      <c r="A1" s="2"/>
      <c r="B1" s="55" t="s">
        <v>148</v>
      </c>
      <c r="C1" s="55"/>
      <c r="D1" s="55"/>
      <c r="E1" s="55"/>
    </row>
    <row r="2" spans="1:5" ht="17.25" customHeight="1">
      <c r="A2" s="2"/>
      <c r="B2" s="56" t="s">
        <v>105</v>
      </c>
      <c r="C2" s="56"/>
      <c r="D2" s="57"/>
      <c r="E2" s="57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106</v>
      </c>
      <c r="C4" s="7" t="s">
        <v>110</v>
      </c>
      <c r="D4" s="6" t="s">
        <v>0</v>
      </c>
      <c r="E4" s="2"/>
    </row>
    <row r="5" spans="1:5" ht="19.5" customHeight="1">
      <c r="A5" s="2"/>
      <c r="B5" s="10" t="s">
        <v>107</v>
      </c>
      <c r="C5" s="18">
        <v>0</v>
      </c>
      <c r="D5" s="9">
        <f ca="1">'الايرادات مقابل المصروفات'!C10</f>
        <v>1288802.8700000001</v>
      </c>
      <c r="E5" s="2"/>
    </row>
    <row r="6" spans="1:5" ht="19.5" customHeight="1">
      <c r="A6" s="2"/>
      <c r="B6" s="10" t="s">
        <v>108</v>
      </c>
      <c r="C6" s="19">
        <f ca="1">'الرئيسي '!$D6/D5</f>
        <v>0.63217350687619123</v>
      </c>
      <c r="D6" s="9">
        <f ca="1">'الايرادات مقابل المصروفات'!E10</f>
        <v>814747.03</v>
      </c>
      <c r="E6" s="2"/>
    </row>
    <row r="7" spans="1:5" ht="19.5" customHeight="1">
      <c r="A7" s="2"/>
      <c r="B7" s="10" t="s">
        <v>109</v>
      </c>
      <c r="C7" s="19">
        <f ca="1">'الرئيسي '!$D7/D5</f>
        <v>0.58459134250686451</v>
      </c>
      <c r="D7" s="9">
        <f ca="1">'الايرادات مقابل المصروفات'!D10</f>
        <v>753423</v>
      </c>
      <c r="E7" s="2"/>
    </row>
    <row r="8" spans="1:5" ht="48" customHeight="1">
      <c r="A8" s="2"/>
      <c r="B8" s="11" t="s">
        <v>126</v>
      </c>
      <c r="C8" s="19"/>
      <c r="D8" s="12">
        <f>D5-D6-D7</f>
        <v>-279367.15999999992</v>
      </c>
      <c r="E8" s="2"/>
    </row>
    <row r="9" spans="1:5" ht="48" customHeight="1">
      <c r="B9" s="16" t="s">
        <v>111</v>
      </c>
      <c r="C9" s="20"/>
      <c r="D9" s="15">
        <f ca="1">'ارصدة البنوك'!$D$46</f>
        <v>4196315.82</v>
      </c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C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أدخل المبلغ &quot;الفعلي&quot; في هذا العمود أسفل هذا العنوان" sqref="D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11"/>
  <sheetViews>
    <sheetView showGridLines="0" rightToLeft="1" tabSelected="1" zoomScaleNormal="100" workbookViewId="0">
      <selection activeCell="C11" sqref="C11"/>
    </sheetView>
  </sheetViews>
  <sheetFormatPr defaultColWidth="8.875" defaultRowHeight="30" customHeight="1"/>
  <cols>
    <col min="1" max="1" width="4" style="1" customWidth="1"/>
    <col min="2" max="2" width="28.125" style="1" customWidth="1"/>
    <col min="3" max="6" width="16.75" style="1" customWidth="1"/>
    <col min="7" max="7" width="4" style="1" customWidth="1"/>
    <col min="8" max="8" width="4" customWidth="1"/>
  </cols>
  <sheetData>
    <row r="1" spans="1:7" ht="31.5" customHeight="1">
      <c r="A1" s="2"/>
      <c r="B1" s="56" t="s">
        <v>131</v>
      </c>
      <c r="C1" s="56"/>
      <c r="D1" s="56"/>
      <c r="E1" s="56"/>
      <c r="F1" s="57"/>
      <c r="G1" s="57"/>
    </row>
    <row r="2" spans="1:7" ht="31.5" customHeight="1">
      <c r="A2" s="2"/>
      <c r="B2" s="56" t="s">
        <v>147</v>
      </c>
      <c r="C2" s="56"/>
      <c r="D2" s="56"/>
      <c r="E2" s="56"/>
      <c r="F2" s="57"/>
      <c r="G2" s="57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106</v>
      </c>
      <c r="C4" s="7" t="s">
        <v>132</v>
      </c>
      <c r="D4" s="7" t="s">
        <v>6</v>
      </c>
      <c r="E4" s="7" t="s">
        <v>133</v>
      </c>
      <c r="F4" s="6" t="s">
        <v>134</v>
      </c>
      <c r="G4" s="2"/>
    </row>
    <row r="5" spans="1:7" ht="35.25" customHeight="1">
      <c r="A5" s="2"/>
      <c r="B5" s="10" t="s">
        <v>135</v>
      </c>
      <c r="C5" s="24">
        <f ca="1">'الايرادات التبرعات'!C17</f>
        <v>330556.51</v>
      </c>
      <c r="D5" s="24">
        <f ca="1">'مصروفات الاسر'!C15+'مصروفات الاسر'!C22</f>
        <v>731274</v>
      </c>
      <c r="E5" s="24">
        <v>0</v>
      </c>
      <c r="F5" s="9">
        <f ca="1">'الايرادات مقابل المصروفات'!$C5-'الايرادات مقابل المصروفات'!$D5-'الايرادات مقابل المصروفات'!$E5</f>
        <v>-400717.49</v>
      </c>
      <c r="G5" s="2"/>
    </row>
    <row r="6" spans="1:7" ht="35.25" customHeight="1">
      <c r="A6" s="2"/>
      <c r="B6" s="10" t="s">
        <v>136</v>
      </c>
      <c r="C6" s="24">
        <f ca="1">'الايرادات التبرعات'!C28</f>
        <v>274218.36</v>
      </c>
      <c r="D6" s="24">
        <f ca="1">'مصروفات الاسر'!C26</f>
        <v>22149</v>
      </c>
      <c r="E6" s="24">
        <v>0</v>
      </c>
      <c r="F6" s="9">
        <f ca="1">'الايرادات مقابل المصروفات'!$C6-'الايرادات مقابل المصروفات'!$D6-'الايرادات مقابل المصروفات'!$E6</f>
        <v>252069.36</v>
      </c>
      <c r="G6" s="2"/>
    </row>
    <row r="7" spans="1:7" ht="35.25" customHeight="1">
      <c r="A7" s="2"/>
      <c r="B7" s="10" t="s">
        <v>137</v>
      </c>
      <c r="C7" s="24">
        <v>231184</v>
      </c>
      <c r="D7" s="24">
        <v>0</v>
      </c>
      <c r="E7" s="24">
        <f ca="1">'المصروفات التشغيلية'!$E$38</f>
        <v>814747.03</v>
      </c>
      <c r="F7" s="9">
        <f ca="1">'الايرادات مقابل المصروفات'!$C7-'الايرادات مقابل المصروفات'!$D7-'الايرادات مقابل المصروفات'!$E7</f>
        <v>-583563.03</v>
      </c>
      <c r="G7" s="2"/>
    </row>
    <row r="8" spans="1:7" ht="35.25" customHeight="1">
      <c r="A8" s="2"/>
      <c r="B8" s="10" t="s">
        <v>151</v>
      </c>
      <c r="C8" s="24">
        <f ca="1">'الايرادات المستحقة'!$D$28</f>
        <v>452844</v>
      </c>
      <c r="D8" s="24">
        <v>0</v>
      </c>
      <c r="E8" s="24">
        <v>0</v>
      </c>
      <c r="F8" s="9">
        <f ca="1">'الايرادات مقابل المصروفات'!$C8-'الايرادات مقابل المصروفات'!$D8-'الايرادات مقابل المصروفات'!$E8</f>
        <v>452844</v>
      </c>
      <c r="G8" s="2"/>
    </row>
    <row r="9" spans="1:7" ht="15" customHeight="1" thickBot="1"/>
    <row r="10" spans="1:7" ht="30" customHeight="1" thickTop="1" thickBot="1">
      <c r="B10" s="34" t="s">
        <v>146</v>
      </c>
      <c r="C10" s="35">
        <f>SUM(C5:C9)</f>
        <v>1288802.8700000001</v>
      </c>
      <c r="D10" s="35">
        <f>SUM(D5:D9)</f>
        <v>753423</v>
      </c>
      <c r="E10" s="35">
        <f>SUM(E5:E9)</f>
        <v>814747.03</v>
      </c>
      <c r="F10" s="35">
        <f>SUM(F5:F9)</f>
        <v>-279367.16000000003</v>
      </c>
    </row>
    <row r="11" spans="1:7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F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2" bottom="0.25" header="0" footer="0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F47"/>
  <sheetViews>
    <sheetView showGridLines="0" rightToLeft="1" zoomScaleNormal="100" workbookViewId="0">
      <selection activeCell="B1" sqref="B1:F1"/>
    </sheetView>
  </sheetViews>
  <sheetFormatPr defaultColWidth="8.875" defaultRowHeight="30" customHeight="1"/>
  <cols>
    <col min="1" max="1" width="4" style="50" customWidth="1"/>
    <col min="2" max="2" width="19.125" style="50" customWidth="1"/>
    <col min="3" max="3" width="20.25" style="50" customWidth="1"/>
    <col min="4" max="4" width="18.875" style="50" customWidth="1"/>
    <col min="5" max="5" width="21.875" style="50" hidden="1" customWidth="1"/>
    <col min="6" max="6" width="4" style="50" customWidth="1"/>
    <col min="7" max="7" width="4" style="38" customWidth="1"/>
    <col min="8" max="16384" width="8.875" style="38"/>
  </cols>
  <sheetData>
    <row r="1" spans="1:6" ht="21" customHeight="1">
      <c r="A1" s="37"/>
      <c r="B1" s="58" t="s">
        <v>149</v>
      </c>
      <c r="C1" s="58"/>
      <c r="D1" s="58"/>
      <c r="E1" s="58"/>
      <c r="F1" s="58"/>
    </row>
    <row r="2" spans="1:6" ht="17.25" customHeight="1">
      <c r="A2" s="37"/>
      <c r="B2" s="59" t="s">
        <v>15</v>
      </c>
      <c r="C2" s="59"/>
      <c r="D2" s="60"/>
      <c r="E2" s="60"/>
      <c r="F2" s="60"/>
    </row>
    <row r="3" spans="1:6" ht="15" customHeight="1">
      <c r="A3" s="37"/>
      <c r="B3" s="37"/>
      <c r="C3" s="37"/>
      <c r="D3" s="37"/>
      <c r="E3" s="37"/>
      <c r="F3" s="37"/>
    </row>
    <row r="4" spans="1:6" ht="30" customHeight="1">
      <c r="A4" s="37"/>
      <c r="B4" s="39" t="s">
        <v>19</v>
      </c>
      <c r="C4" s="39" t="s">
        <v>18</v>
      </c>
      <c r="D4" s="40" t="s">
        <v>0</v>
      </c>
      <c r="E4" s="41" t="s">
        <v>2</v>
      </c>
      <c r="F4" s="37"/>
    </row>
    <row r="5" spans="1:6" ht="19.5" customHeight="1">
      <c r="A5" s="37"/>
      <c r="B5" s="42" t="s">
        <v>16</v>
      </c>
      <c r="C5" s="42"/>
      <c r="D5" s="43"/>
      <c r="E5" s="44">
        <f ca="1">'ارصدة البنوك'!$D5+(10^-6)*ROW('ارصدة البنوك'!$D5)</f>
        <v>4.9999999999999996E-6</v>
      </c>
      <c r="F5" s="37"/>
    </row>
    <row r="6" spans="1:6" ht="19.5" customHeight="1">
      <c r="A6" s="37"/>
      <c r="B6" s="45">
        <v>404001</v>
      </c>
      <c r="C6" s="45" t="s">
        <v>25</v>
      </c>
      <c r="D6" s="43">
        <v>200</v>
      </c>
      <c r="E6" s="44">
        <f ca="1">'ارصدة البنوك'!$D6+(10^-6)*ROW('ارصدة البنوك'!$D6)</f>
        <v>200.00000600000001</v>
      </c>
      <c r="F6" s="37"/>
    </row>
    <row r="7" spans="1:6" ht="19.5" customHeight="1">
      <c r="A7" s="37"/>
      <c r="B7" s="45">
        <v>2778</v>
      </c>
      <c r="C7" s="45" t="s">
        <v>25</v>
      </c>
      <c r="D7" s="43">
        <v>10000</v>
      </c>
      <c r="E7" s="44">
        <f ca="1">'ارصدة البنوك'!$D7+(10^-6)*ROW('ارصدة البنوك'!$D7)</f>
        <v>10000.000007000001</v>
      </c>
      <c r="F7" s="37"/>
    </row>
    <row r="8" spans="1:6" ht="19.5" customHeight="1">
      <c r="A8" s="37"/>
      <c r="B8" s="45">
        <v>332004</v>
      </c>
      <c r="C8" s="45" t="s">
        <v>25</v>
      </c>
      <c r="D8" s="43">
        <v>15000</v>
      </c>
      <c r="E8" s="44">
        <f ca="1">'ارصدة البنوك'!$D8+(10^-6)*ROW('ارصدة البنوك'!$D8)</f>
        <v>15000.000008000001</v>
      </c>
      <c r="F8" s="37"/>
    </row>
    <row r="9" spans="1:6" ht="19.5" customHeight="1">
      <c r="A9" s="37"/>
      <c r="B9" s="45">
        <v>3188870</v>
      </c>
      <c r="C9" s="45" t="s">
        <v>26</v>
      </c>
      <c r="D9" s="43">
        <v>11329.39</v>
      </c>
      <c r="E9" s="44">
        <f ca="1">'ارصدة البنوك'!$D9+(10^-6)*ROW('ارصدة البنوك'!$D9)</f>
        <v>11329.390008999999</v>
      </c>
      <c r="F9" s="37"/>
    </row>
    <row r="10" spans="1:6" ht="19.5" customHeight="1">
      <c r="A10" s="37"/>
      <c r="B10" s="45">
        <v>187663</v>
      </c>
      <c r="C10" s="45" t="s">
        <v>27</v>
      </c>
      <c r="D10" s="43">
        <v>813882.99</v>
      </c>
      <c r="E10" s="44">
        <f ca="1">'ارصدة البنوك'!$D10+(10^-6)*ROW('ارصدة البنوك'!$D10)</f>
        <v>813882.99000999995</v>
      </c>
      <c r="F10" s="37"/>
    </row>
    <row r="11" spans="1:6" ht="19.5" customHeight="1">
      <c r="A11" s="37"/>
      <c r="B11" s="45">
        <v>338</v>
      </c>
      <c r="C11" s="45" t="s">
        <v>28</v>
      </c>
      <c r="D11" s="43">
        <v>83437.03</v>
      </c>
      <c r="E11" s="44">
        <f ca="1">'ارصدة البنوك'!$D11+(10^-6)*ROW('ارصدة البنوك'!$D11)</f>
        <v>83437.030010999995</v>
      </c>
      <c r="F11" s="37"/>
    </row>
    <row r="12" spans="1:6" ht="19.5" customHeight="1">
      <c r="A12" s="37"/>
      <c r="B12" s="45">
        <v>13003</v>
      </c>
      <c r="C12" s="45" t="s">
        <v>29</v>
      </c>
      <c r="D12" s="43">
        <v>9426.36</v>
      </c>
      <c r="E12" s="44">
        <f ca="1">'ارصدة البنوك'!$D12+(10^-6)*ROW('ارصدة البنوك'!$D12)</f>
        <v>9426.360012000001</v>
      </c>
      <c r="F12" s="37"/>
    </row>
    <row r="13" spans="1:6" ht="19.5" customHeight="1">
      <c r="A13" s="37"/>
      <c r="B13" s="45">
        <v>348752</v>
      </c>
      <c r="C13" s="45" t="s">
        <v>34</v>
      </c>
      <c r="D13" s="43">
        <v>801.69</v>
      </c>
      <c r="E13" s="44">
        <f ca="1">'ارصدة البنوك'!$D13+(10^-6)*ROW('ارصدة البنوك'!$D13)</f>
        <v>801.69001300000002</v>
      </c>
      <c r="F13" s="37"/>
    </row>
    <row r="14" spans="1:6" ht="19.5" customHeight="1">
      <c r="A14" s="37"/>
      <c r="B14" s="45">
        <v>157559</v>
      </c>
      <c r="C14" s="45" t="s">
        <v>31</v>
      </c>
      <c r="D14" s="43">
        <v>48411.519999999997</v>
      </c>
      <c r="E14" s="44">
        <f ca="1">'ارصدة البنوك'!$D14+(10^-6)*ROW('ارصدة البنوك'!$D14)</f>
        <v>48411.520013999994</v>
      </c>
      <c r="F14" s="37"/>
    </row>
    <row r="15" spans="1:6" ht="19.5" customHeight="1">
      <c r="A15" s="37"/>
      <c r="B15" s="45">
        <v>457884</v>
      </c>
      <c r="C15" s="45" t="s">
        <v>32</v>
      </c>
      <c r="D15" s="43">
        <v>1891.6</v>
      </c>
      <c r="E15" s="44">
        <f ca="1">'ارصدة البنوك'!$D15+(10^-6)*ROW('ارصدة البنوك'!$D15)</f>
        <v>1891.600015</v>
      </c>
      <c r="F15" s="37"/>
    </row>
    <row r="16" spans="1:6" ht="19.5" customHeight="1">
      <c r="A16" s="37"/>
      <c r="B16" s="45">
        <v>661</v>
      </c>
      <c r="C16" s="45" t="s">
        <v>33</v>
      </c>
      <c r="D16" s="43">
        <v>5621.47</v>
      </c>
      <c r="E16" s="44">
        <f ca="1">'ارصدة البنوك'!$D16+(10^-6)*ROW('ارصدة البنوك'!$D16)</f>
        <v>5621.4700160000002</v>
      </c>
      <c r="F16" s="37"/>
    </row>
    <row r="17" spans="1:6" ht="19.5" customHeight="1">
      <c r="A17" s="37"/>
      <c r="B17" s="45">
        <v>122440</v>
      </c>
      <c r="C17" s="45" t="s">
        <v>30</v>
      </c>
      <c r="D17" s="43">
        <v>11276.51</v>
      </c>
      <c r="E17" s="44">
        <f ca="1">'ارصدة البنوك'!$D17+(10^-6)*ROW('ارصدة البنوك'!$D17)</f>
        <v>11276.510017000001</v>
      </c>
      <c r="F17" s="37"/>
    </row>
    <row r="18" spans="1:6" ht="19.5" customHeight="1">
      <c r="A18" s="37"/>
      <c r="B18" s="45">
        <v>554</v>
      </c>
      <c r="C18" s="45" t="s">
        <v>35</v>
      </c>
      <c r="D18" s="43">
        <v>30801.59</v>
      </c>
      <c r="E18" s="44">
        <f ca="1">'ارصدة البنوك'!$D18+(10^-6)*ROW('ارصدة البنوك'!$D18)</f>
        <v>30801.590017999999</v>
      </c>
      <c r="F18" s="37"/>
    </row>
    <row r="19" spans="1:6" ht="19.5" customHeight="1">
      <c r="A19" s="37"/>
      <c r="B19" s="45">
        <v>122358</v>
      </c>
      <c r="C19" s="45" t="s">
        <v>36</v>
      </c>
      <c r="D19" s="43">
        <v>449863.93</v>
      </c>
      <c r="E19" s="44">
        <f ca="1">'ارصدة البنوك'!$D19+(10^-6)*ROW('ارصدة البنوك'!$D19)</f>
        <v>449863.93001900002</v>
      </c>
      <c r="F19" s="37"/>
    </row>
    <row r="20" spans="1:6" ht="19.5" customHeight="1">
      <c r="A20" s="37"/>
      <c r="B20" s="45">
        <v>65136</v>
      </c>
      <c r="C20" s="45" t="s">
        <v>37</v>
      </c>
      <c r="D20" s="43">
        <v>77536.100000000006</v>
      </c>
      <c r="E20" s="44">
        <f ca="1">'ارصدة البنوك'!$D20+(10^-6)*ROW('ارصدة البنوك'!$D20)</f>
        <v>77536.100020000013</v>
      </c>
      <c r="F20" s="37"/>
    </row>
    <row r="21" spans="1:6" ht="19.5" customHeight="1" thickBot="1">
      <c r="A21" s="37"/>
      <c r="B21" s="45">
        <v>349941</v>
      </c>
      <c r="C21" s="45" t="s">
        <v>38</v>
      </c>
      <c r="D21" s="43">
        <v>985252.94</v>
      </c>
      <c r="E21" s="44">
        <f ca="1">'ارصدة البنوك'!$D21+(10^-6)*ROW('ارصدة البنوك'!$D21)</f>
        <v>985252.94002099999</v>
      </c>
      <c r="F21" s="37"/>
    </row>
    <row r="22" spans="1:6" ht="19.5" customHeight="1" thickTop="1" thickBot="1">
      <c r="A22" s="37"/>
      <c r="B22" s="36" t="s">
        <v>144</v>
      </c>
      <c r="C22" s="36"/>
      <c r="D22" s="46">
        <f>SUBTOTAL(109,D6:D21)</f>
        <v>2554733.12</v>
      </c>
      <c r="E22" s="44">
        <f ca="1">'ارصدة البنوك'!$D22+(10^-6)*ROW('ارصدة البنوك'!$D22)</f>
        <v>2554733.1200220003</v>
      </c>
      <c r="F22" s="37"/>
    </row>
    <row r="23" spans="1:6" ht="19.5" customHeight="1" thickTop="1">
      <c r="A23" s="37"/>
      <c r="B23" s="42" t="s">
        <v>20</v>
      </c>
      <c r="C23" s="42"/>
      <c r="D23" s="43"/>
      <c r="E23" s="44">
        <f ca="1">'ارصدة البنوك'!$D23+(10^-6)*ROW('ارصدة البنوك'!$D23)</f>
        <v>2.3E-5</v>
      </c>
      <c r="F23" s="37"/>
    </row>
    <row r="24" spans="1:6" ht="19.5" customHeight="1">
      <c r="A24" s="37"/>
      <c r="B24" s="45">
        <v>402000</v>
      </c>
      <c r="C24" s="45" t="s">
        <v>39</v>
      </c>
      <c r="D24" s="43">
        <v>847</v>
      </c>
      <c r="E24" s="44">
        <f ca="1">'ارصدة البنوك'!$D24+(10^-6)*ROW('ارصدة البنوك'!$D24)</f>
        <v>847.00002400000005</v>
      </c>
      <c r="F24" s="37"/>
    </row>
    <row r="25" spans="1:6" ht="19.5" customHeight="1">
      <c r="A25" s="37"/>
      <c r="B25" s="45">
        <v>402001</v>
      </c>
      <c r="C25" s="45" t="s">
        <v>40</v>
      </c>
      <c r="D25" s="43">
        <v>42089.96</v>
      </c>
      <c r="E25" s="44">
        <f ca="1">'ارصدة البنوك'!$D25+(10^-6)*ROW('ارصدة البنوك'!$D25)</f>
        <v>42089.960025</v>
      </c>
      <c r="F25" s="37"/>
    </row>
    <row r="26" spans="1:6" ht="19.5" customHeight="1" thickBot="1">
      <c r="A26" s="37"/>
      <c r="B26" s="45">
        <v>402002</v>
      </c>
      <c r="C26" s="45" t="s">
        <v>34</v>
      </c>
      <c r="D26" s="43">
        <v>416970.74</v>
      </c>
      <c r="E26" s="44">
        <f ca="1">'ارصدة البنوك'!$D26+(10^-6)*ROW('ارصدة البنوك'!$D26)</f>
        <v>416970.74002600001</v>
      </c>
      <c r="F26" s="37"/>
    </row>
    <row r="27" spans="1:6" ht="19.5" customHeight="1" thickTop="1" thickBot="1">
      <c r="A27" s="37"/>
      <c r="B27" s="36" t="s">
        <v>144</v>
      </c>
      <c r="C27" s="36"/>
      <c r="D27" s="46">
        <f>SUBTOTAL(109,D24:D26)</f>
        <v>459907.7</v>
      </c>
      <c r="E27" s="44">
        <f ca="1">'ارصدة البنوك'!$D27+(10^-6)*ROW('ارصدة البنوك'!$D27)</f>
        <v>459907.70002699998</v>
      </c>
      <c r="F27" s="37"/>
    </row>
    <row r="28" spans="1:6" ht="19.5" customHeight="1" thickTop="1">
      <c r="A28" s="37"/>
      <c r="B28" s="42" t="s">
        <v>21</v>
      </c>
      <c r="C28" s="45"/>
      <c r="D28" s="43"/>
      <c r="E28" s="44">
        <f ca="1">'ارصدة البنوك'!$D28+(10^-6)*ROW('ارصدة البنوك'!$D28)</f>
        <v>2.8E-5</v>
      </c>
      <c r="F28" s="37"/>
    </row>
    <row r="29" spans="1:6" ht="19.5" customHeight="1">
      <c r="A29" s="37"/>
      <c r="B29" s="45">
        <v>220299</v>
      </c>
      <c r="C29" s="45" t="s">
        <v>25</v>
      </c>
      <c r="D29" s="43">
        <v>100</v>
      </c>
      <c r="E29" s="44">
        <f ca="1">'ارصدة البنوك'!$D29+(10^-6)*ROW('ارصدة البنوك'!$D29)</f>
        <v>100.000029</v>
      </c>
      <c r="F29" s="37"/>
    </row>
    <row r="30" spans="1:6" ht="19.5" customHeight="1">
      <c r="A30" s="37"/>
      <c r="B30" s="45">
        <v>168550</v>
      </c>
      <c r="C30" s="45" t="s">
        <v>25</v>
      </c>
      <c r="D30" s="43">
        <v>137.5</v>
      </c>
      <c r="E30" s="44">
        <f ca="1">'ارصدة البنوك'!$D30+(10^-6)*ROW('ارصدة البنوك'!$D30)</f>
        <v>137.50003000000001</v>
      </c>
      <c r="F30" s="37"/>
    </row>
    <row r="31" spans="1:6" ht="19.5" customHeight="1">
      <c r="A31" s="37"/>
      <c r="B31" s="45">
        <v>6942</v>
      </c>
      <c r="C31" s="45" t="s">
        <v>25</v>
      </c>
      <c r="D31" s="43">
        <v>49.66</v>
      </c>
      <c r="E31" s="44">
        <f ca="1">'ارصدة البنوك'!$D31+(10^-6)*ROW('ارصدة البنوك'!$D31)</f>
        <v>49.660030999999996</v>
      </c>
      <c r="F31" s="37"/>
    </row>
    <row r="32" spans="1:6" ht="19.5" customHeight="1">
      <c r="A32" s="37"/>
      <c r="B32" s="45">
        <v>23055</v>
      </c>
      <c r="C32" s="45" t="s">
        <v>25</v>
      </c>
      <c r="D32" s="43">
        <v>100</v>
      </c>
      <c r="E32" s="44">
        <f ca="1">'ارصدة البنوك'!$D32+(10^-6)*ROW('ارصدة البنوك'!$D32)</f>
        <v>100.000032</v>
      </c>
      <c r="F32" s="37"/>
    </row>
    <row r="33" spans="1:6" ht="19.5" customHeight="1" thickBot="1">
      <c r="A33" s="37"/>
      <c r="B33" s="45">
        <v>5465</v>
      </c>
      <c r="C33" s="45" t="s">
        <v>39</v>
      </c>
      <c r="D33" s="43">
        <v>41335.93</v>
      </c>
      <c r="E33" s="44">
        <f ca="1">'ارصدة البنوك'!$D33+(10^-6)*ROW('ارصدة البنوك'!$D33)</f>
        <v>41335.930032999997</v>
      </c>
      <c r="F33" s="37"/>
    </row>
    <row r="34" spans="1:6" ht="19.5" customHeight="1" thickTop="1" thickBot="1">
      <c r="A34" s="37"/>
      <c r="B34" s="36" t="s">
        <v>144</v>
      </c>
      <c r="C34" s="36"/>
      <c r="D34" s="46">
        <f>SUBTOTAL(109,D29:D33)</f>
        <v>41723.090000000004</v>
      </c>
      <c r="E34" s="44">
        <f ca="1">'ارصدة البنوك'!$D34+(10^-6)*ROW('ارصدة البنوك'!$D34)</f>
        <v>41723.090034000001</v>
      </c>
      <c r="F34" s="37"/>
    </row>
    <row r="35" spans="1:6" ht="19.5" customHeight="1" thickTop="1">
      <c r="A35" s="37"/>
      <c r="B35" s="42" t="s">
        <v>22</v>
      </c>
      <c r="C35" s="45"/>
      <c r="D35" s="43"/>
      <c r="E35" s="44">
        <f ca="1">'ارصدة البنوك'!$D35+(10^-6)*ROW('ارصدة البنوك'!$D35)</f>
        <v>3.4999999999999997E-5</v>
      </c>
      <c r="F35" s="37"/>
    </row>
    <row r="36" spans="1:6" ht="19.5" customHeight="1">
      <c r="A36" s="37"/>
      <c r="B36" s="45">
        <v>6000110</v>
      </c>
      <c r="C36" s="45" t="s">
        <v>39</v>
      </c>
      <c r="D36" s="43">
        <v>11632.52</v>
      </c>
      <c r="E36" s="44">
        <f ca="1">'ارصدة البنوك'!$D36+(10^-6)*ROW('ارصدة البنوك'!$D36)</f>
        <v>11632.520036</v>
      </c>
      <c r="F36" s="37"/>
    </row>
    <row r="37" spans="1:6" ht="19.5" customHeight="1" thickBot="1">
      <c r="A37" s="37"/>
      <c r="B37" s="45">
        <v>6000106</v>
      </c>
      <c r="C37" s="45" t="s">
        <v>39</v>
      </c>
      <c r="D37" s="43">
        <v>364653.92</v>
      </c>
      <c r="E37" s="44">
        <f ca="1">'ارصدة البنوك'!$D37+(10^-6)*ROW('ارصدة البنوك'!$D37)</f>
        <v>364653.92003699997</v>
      </c>
      <c r="F37" s="37"/>
    </row>
    <row r="38" spans="1:6" ht="19.5" customHeight="1" thickTop="1" thickBot="1">
      <c r="A38" s="37"/>
      <c r="B38" s="36" t="s">
        <v>144</v>
      </c>
      <c r="C38" s="36"/>
      <c r="D38" s="46">
        <f>SUBTOTAL(109,D36:D37)</f>
        <v>376286.44</v>
      </c>
      <c r="E38" s="44">
        <f ca="1">'ارصدة البنوك'!$D38+(10^-6)*ROW('ارصدة البنوك'!$D38)</f>
        <v>376286.440038</v>
      </c>
      <c r="F38" s="37"/>
    </row>
    <row r="39" spans="1:6" ht="19.5" customHeight="1" thickTop="1">
      <c r="A39" s="37"/>
      <c r="B39" s="42" t="s">
        <v>23</v>
      </c>
      <c r="C39" s="45"/>
      <c r="D39" s="43"/>
      <c r="E39" s="44">
        <f ca="1">'ارصدة البنوك'!$D39+(10^-6)*ROW('ارصدة البنوك'!$D39)</f>
        <v>3.8999999999999999E-5</v>
      </c>
      <c r="F39" s="37"/>
    </row>
    <row r="40" spans="1:6" ht="19.5" customHeight="1" thickBot="1">
      <c r="A40" s="37"/>
      <c r="B40" s="45">
        <v>1107000386</v>
      </c>
      <c r="C40" s="45" t="s">
        <v>39</v>
      </c>
      <c r="D40" s="43">
        <v>408416.24</v>
      </c>
      <c r="E40" s="44">
        <f ca="1">'ارصدة البنوك'!$D40+(10^-6)*ROW('ارصدة البنوك'!$D40)</f>
        <v>408416.24004</v>
      </c>
      <c r="F40" s="37"/>
    </row>
    <row r="41" spans="1:6" ht="19.5" customHeight="1" thickTop="1" thickBot="1">
      <c r="A41" s="37"/>
      <c r="B41" s="36" t="s">
        <v>144</v>
      </c>
      <c r="C41" s="36"/>
      <c r="D41" s="46">
        <f>SUBTOTAL(109,D40)</f>
        <v>408416.24</v>
      </c>
      <c r="E41" s="44">
        <f ca="1">'ارصدة البنوك'!$D41+(10^-6)*ROW('ارصدة البنوك'!$D41)</f>
        <v>408416.24004100001</v>
      </c>
      <c r="F41" s="37"/>
    </row>
    <row r="42" spans="1:6" ht="19.5" customHeight="1" thickTop="1">
      <c r="A42" s="37"/>
      <c r="B42" s="42" t="s">
        <v>24</v>
      </c>
      <c r="C42" s="45"/>
      <c r="D42" s="43"/>
      <c r="E42" s="44">
        <f ca="1">'ارصدة البنوك'!$D42+(10^-6)*ROW('ارصدة البنوك'!$D42)</f>
        <v>4.1999999999999998E-5</v>
      </c>
      <c r="F42" s="37"/>
    </row>
    <row r="43" spans="1:6" ht="19.5" customHeight="1" thickBot="1">
      <c r="A43" s="37"/>
      <c r="B43" s="45">
        <v>15117900</v>
      </c>
      <c r="C43" s="45" t="s">
        <v>39</v>
      </c>
      <c r="D43" s="43">
        <v>355249.23</v>
      </c>
      <c r="E43" s="44">
        <f ca="1">'ارصدة البنوك'!$D43+(10^-6)*ROW('ارصدة البنوك'!$D43)</f>
        <v>355249.23004299996</v>
      </c>
      <c r="F43" s="37"/>
    </row>
    <row r="44" spans="1:6" ht="19.5" customHeight="1" thickTop="1" thickBot="1">
      <c r="A44" s="37"/>
      <c r="B44" s="36" t="s">
        <v>144</v>
      </c>
      <c r="C44" s="36"/>
      <c r="D44" s="46">
        <f>SUBTOTAL(109,D43)</f>
        <v>355249.23</v>
      </c>
      <c r="E44" s="44">
        <f ca="1">'ارصدة البنوك'!$D44+(10^-6)*ROW('ارصدة البنوك'!$D44)</f>
        <v>355249.23004399997</v>
      </c>
      <c r="F44" s="37"/>
    </row>
    <row r="45" spans="1:6" ht="14.25" customHeight="1" thickTop="1" thickBot="1">
      <c r="A45" s="37"/>
      <c r="B45" s="45"/>
      <c r="C45" s="45"/>
      <c r="D45" s="43"/>
      <c r="E45" s="44">
        <f ca="1">'ارصدة البنوك'!$D45+(10^-6)*ROW('ارصدة البنوك'!$D45)</f>
        <v>4.4999999999999996E-5</v>
      </c>
      <c r="F45" s="37"/>
    </row>
    <row r="46" spans="1:6" ht="30" customHeight="1" thickTop="1" thickBot="1">
      <c r="A46" s="37"/>
      <c r="B46" s="47" t="s">
        <v>145</v>
      </c>
      <c r="C46" s="47"/>
      <c r="D46" s="48">
        <f>D22+D27+D34+D38+D41+D44</f>
        <v>4196315.82</v>
      </c>
      <c r="E46" s="49"/>
      <c r="F46" s="37"/>
    </row>
    <row r="47" spans="1:6" ht="30" customHeight="1" thickTop="1"/>
  </sheetData>
  <sheetProtection insertColumns="0" insertRows="0" deleteColumns="0" deleteRows="0" selectLockedCells="1" autoFilter="0"/>
  <dataConsolidate/>
  <mergeCells count="2">
    <mergeCell ref="B1:F1"/>
    <mergeCell ref="B2:F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D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يتم تحديث &quot;اسم الشركة&quot; تلقائياً في هذه الخلية" sqref="B1:C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rowBreaks count="1" manualBreakCount="1">
    <brk id="22" max="5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L39"/>
  <sheetViews>
    <sheetView showGridLines="0" rightToLeft="1" view="pageBreakPreview" zoomScale="60" zoomScaleNormal="100" workbookViewId="0">
      <selection activeCell="B10" sqref="B10"/>
    </sheetView>
  </sheetViews>
  <sheetFormatPr defaultColWidth="8.875" defaultRowHeight="30" customHeight="1"/>
  <cols>
    <col min="1" max="1" width="4" style="1" customWidth="1"/>
    <col min="2" max="2" width="32.75" style="1" customWidth="1"/>
    <col min="3" max="3" width="17" style="1" customWidth="1"/>
    <col min="4" max="4" width="19.125" style="1" customWidth="1"/>
    <col min="5" max="5" width="17" style="1" customWidth="1"/>
    <col min="6" max="6" width="21.875" style="1" hidden="1" customWidth="1"/>
    <col min="7" max="7" width="4" style="1" customWidth="1"/>
    <col min="8" max="8" width="4" customWidth="1"/>
  </cols>
  <sheetData>
    <row r="1" spans="1:7" ht="20.25" customHeight="1">
      <c r="A1" s="2"/>
      <c r="B1" s="61" t="s">
        <v>149</v>
      </c>
      <c r="C1" s="61"/>
      <c r="D1" s="61"/>
      <c r="E1" s="61"/>
      <c r="F1" s="61"/>
      <c r="G1" s="61"/>
    </row>
    <row r="2" spans="1:7" ht="21.75" customHeight="1">
      <c r="A2" s="2"/>
      <c r="B2" s="56" t="s">
        <v>150</v>
      </c>
      <c r="C2" s="56"/>
      <c r="D2" s="56"/>
      <c r="E2" s="57"/>
      <c r="F2" s="57"/>
      <c r="G2" s="57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3</v>
      </c>
      <c r="C4" s="7" t="s">
        <v>63</v>
      </c>
      <c r="D4" s="7" t="s">
        <v>64</v>
      </c>
      <c r="E4" s="6" t="s">
        <v>65</v>
      </c>
      <c r="F4" s="3" t="s">
        <v>2</v>
      </c>
      <c r="G4" s="2"/>
    </row>
    <row r="5" spans="1:7" ht="20.25" customHeight="1">
      <c r="A5" s="2"/>
      <c r="B5" s="10" t="s">
        <v>51</v>
      </c>
      <c r="C5" s="10">
        <f>11576+1505+102518+108505+126473</f>
        <v>350577</v>
      </c>
      <c r="D5" s="10">
        <f>11600+1500+1500+1500+14666+25787+14600+15255+16216</f>
        <v>102624</v>
      </c>
      <c r="E5" s="9">
        <f ca="1">'المصروفات التشغيلية'!$C5+'المصروفات التشغيلية'!$D5</f>
        <v>453201</v>
      </c>
      <c r="F5" s="5">
        <f ca="1">'المصروفات التشغيلية'!$E5+(10^-6)*ROW('المصروفات التشغيلية'!$E5)</f>
        <v>453201.00000499998</v>
      </c>
      <c r="G5" s="2"/>
    </row>
    <row r="6" spans="1:7" ht="20.25" customHeight="1">
      <c r="A6" s="2"/>
      <c r="B6" s="10" t="s">
        <v>52</v>
      </c>
      <c r="C6" s="10">
        <f>1300+251+14163+14539+16090</f>
        <v>46343</v>
      </c>
      <c r="D6" s="10">
        <f>2127+2127+2127</f>
        <v>6381</v>
      </c>
      <c r="E6" s="9">
        <f ca="1">'المصروفات التشغيلية'!$C6+'المصروفات التشغيلية'!$D6</f>
        <v>52724</v>
      </c>
      <c r="F6" s="5">
        <f ca="1">'المصروفات التشغيلية'!$E6+(10^-6)*ROW('المصروفات التشغيلية'!$E6)</f>
        <v>52724.000006000002</v>
      </c>
      <c r="G6" s="2"/>
    </row>
    <row r="7" spans="1:7" ht="20.25" customHeight="1">
      <c r="A7" s="2"/>
      <c r="B7" s="10" t="s">
        <v>53</v>
      </c>
      <c r="C7" s="10">
        <f>600+120+6350+6530+7250</f>
        <v>20850</v>
      </c>
      <c r="D7" s="10">
        <f>1050+1050+1050</f>
        <v>3150</v>
      </c>
      <c r="E7" s="9">
        <f ca="1">'المصروفات التشغيلية'!$C7+'المصروفات التشغيلية'!$D7</f>
        <v>24000</v>
      </c>
      <c r="F7" s="5">
        <f ca="1">'المصروفات التشغيلية'!$E7+(10^-6)*ROW('المصروفات التشغيلية'!$E7)</f>
        <v>24000.000006999999</v>
      </c>
      <c r="G7" s="2"/>
    </row>
    <row r="8" spans="1:7" ht="20.25" customHeight="1">
      <c r="A8" s="2"/>
      <c r="B8" s="10" t="s">
        <v>54</v>
      </c>
      <c r="C8" s="10">
        <f>250+100+5450+5650+5950</f>
        <v>17400</v>
      </c>
      <c r="D8" s="10">
        <f>800+957+1592+1100+1100+1100</f>
        <v>6649</v>
      </c>
      <c r="E8" s="9">
        <f ca="1">'المصروفات التشغيلية'!$C8+'المصروفات التشغيلية'!$D8</f>
        <v>24049</v>
      </c>
      <c r="F8" s="5">
        <f ca="1">'المصروفات التشغيلية'!$E8+(10^-6)*ROW('المصروفات التشغيلية'!$E8)</f>
        <v>24049.000007999999</v>
      </c>
      <c r="G8" s="2"/>
    </row>
    <row r="9" spans="1:7" ht="20.25" customHeight="1">
      <c r="A9" s="2"/>
      <c r="B9" s="10" t="s">
        <v>55</v>
      </c>
      <c r="C9" s="10">
        <f>2235+125</f>
        <v>2360</v>
      </c>
      <c r="D9" s="10">
        <f>398+380+951+2211+2215+96</f>
        <v>6251</v>
      </c>
      <c r="E9" s="9">
        <f ca="1">'المصروفات التشغيلية'!$C9+'المصروفات التشغيلية'!$D9</f>
        <v>8611</v>
      </c>
      <c r="F9" s="5">
        <f ca="1">'المصروفات التشغيلية'!$E9+(10^-6)*ROW('المصروفات التشغيلية'!$E9)</f>
        <v>8611.0000089999994</v>
      </c>
      <c r="G9" s="2"/>
    </row>
    <row r="10" spans="1:7" ht="20.25" customHeight="1">
      <c r="A10" s="2"/>
      <c r="B10" s="10" t="s">
        <v>56</v>
      </c>
      <c r="C10" s="10">
        <f>3505.04+9798.74+12637.74+3885.96</f>
        <v>29827.479999999996</v>
      </c>
      <c r="D10" s="10">
        <f>1406+1569</f>
        <v>2975</v>
      </c>
      <c r="E10" s="9">
        <f ca="1">'المصروفات التشغيلية'!$C10+'المصروفات التشغيلية'!$D10</f>
        <v>32802.479999999996</v>
      </c>
      <c r="F10" s="5">
        <f ca="1">'المصروفات التشغيلية'!$E10+(10^-6)*ROW('المصروفات التشغيلية'!$E10)</f>
        <v>32802.480009999999</v>
      </c>
      <c r="G10" s="2"/>
    </row>
    <row r="11" spans="1:7" ht="20.25" customHeight="1">
      <c r="A11" s="2"/>
      <c r="B11" s="10" t="s">
        <v>57</v>
      </c>
      <c r="C11" s="10">
        <v>0</v>
      </c>
      <c r="D11" s="10">
        <f>1233</f>
        <v>1233</v>
      </c>
      <c r="E11" s="9">
        <f ca="1">'المصروفات التشغيلية'!$C11+'المصروفات التشغيلية'!$D11</f>
        <v>1233</v>
      </c>
      <c r="F11" s="5">
        <f ca="1">'المصروفات التشغيلية'!$E11+(10^-6)*ROW('المصروفات التشغيلية'!$E11)</f>
        <v>1233.0000110000001</v>
      </c>
      <c r="G11" s="2"/>
    </row>
    <row r="12" spans="1:7" ht="20.25" customHeight="1">
      <c r="A12" s="2"/>
      <c r="B12" s="10" t="s">
        <v>73</v>
      </c>
      <c r="C12" s="14">
        <f>24325.63</f>
        <v>24325.63</v>
      </c>
      <c r="D12" s="10">
        <f>6172.5</f>
        <v>6172.5</v>
      </c>
      <c r="E12" s="9">
        <f ca="1">'المصروفات التشغيلية'!$C12+'المصروفات التشغيلية'!$D12</f>
        <v>30498.13</v>
      </c>
      <c r="F12" s="5">
        <f ca="1">'المصروفات التشغيلية'!$E12+(10^-6)*ROW('المصروفات التشغيلية'!$E12)</f>
        <v>30498.130012000001</v>
      </c>
      <c r="G12" s="2"/>
    </row>
    <row r="13" spans="1:7" ht="20.25" customHeight="1">
      <c r="A13" s="2"/>
      <c r="B13" s="10" t="s">
        <v>58</v>
      </c>
      <c r="C13" s="10">
        <v>0</v>
      </c>
      <c r="D13" s="10">
        <f>2336+2322+2320</f>
        <v>6978</v>
      </c>
      <c r="E13" s="9">
        <f ca="1">'المصروفات التشغيلية'!$C13+'المصروفات التشغيلية'!$D13</f>
        <v>6978</v>
      </c>
      <c r="F13" s="5">
        <f ca="1">'المصروفات التشغيلية'!$E13+(10^-6)*ROW('المصروفات التشغيلية'!$E13)</f>
        <v>6978.0000129999999</v>
      </c>
      <c r="G13" s="2"/>
    </row>
    <row r="14" spans="1:7" ht="20.25" customHeight="1">
      <c r="A14" s="2"/>
      <c r="B14" s="10" t="s">
        <v>74</v>
      </c>
      <c r="C14" s="14">
        <f>5050+5891+1050</f>
        <v>11991</v>
      </c>
      <c r="D14" s="10">
        <f>4000+1507+1000</f>
        <v>6507</v>
      </c>
      <c r="E14" s="9">
        <f ca="1">'المصروفات التشغيلية'!$C14+'المصروفات التشغيلية'!$D14</f>
        <v>18498</v>
      </c>
      <c r="F14" s="5">
        <f ca="1">'المصروفات التشغيلية'!$E14+(10^-6)*ROW('المصروفات التشغيلية'!$E14)</f>
        <v>18498.000014000001</v>
      </c>
      <c r="G14" s="2"/>
    </row>
    <row r="15" spans="1:7" ht="20.25" customHeight="1">
      <c r="A15" s="2"/>
      <c r="B15" s="10" t="s">
        <v>61</v>
      </c>
      <c r="C15" s="10">
        <f>2250</f>
        <v>2250</v>
      </c>
      <c r="D15" s="10"/>
      <c r="E15" s="9">
        <f ca="1">'المصروفات التشغيلية'!$C15+'المصروفات التشغيلية'!$D15</f>
        <v>2250</v>
      </c>
      <c r="F15" s="5">
        <f ca="1">'المصروفات التشغيلية'!$E15+(10^-6)*ROW('المصروفات التشغيلية'!$E15)</f>
        <v>2250.0000150000001</v>
      </c>
      <c r="G15" s="2"/>
    </row>
    <row r="16" spans="1:7" ht="20.25" customHeight="1">
      <c r="A16" s="2"/>
      <c r="B16" s="10" t="s">
        <v>60</v>
      </c>
      <c r="C16" s="10">
        <v>0</v>
      </c>
      <c r="D16" s="10">
        <f>2583+2136</f>
        <v>4719</v>
      </c>
      <c r="E16" s="9">
        <f ca="1">'المصروفات التشغيلية'!$C16+'المصروفات التشغيلية'!$D16</f>
        <v>4719</v>
      </c>
      <c r="F16" s="5">
        <f ca="1">'المصروفات التشغيلية'!$E16+(10^-6)*ROW('المصروفات التشغيلية'!$E16)</f>
        <v>4719.000016</v>
      </c>
      <c r="G16" s="2"/>
    </row>
    <row r="17" spans="1:12" ht="20.25" customHeight="1">
      <c r="A17" s="2"/>
      <c r="B17" s="10" t="s">
        <v>115</v>
      </c>
      <c r="C17" s="14">
        <v>0</v>
      </c>
      <c r="D17" s="10">
        <f>420+700</f>
        <v>1120</v>
      </c>
      <c r="E17" s="9">
        <f ca="1">'المصروفات التشغيلية'!$C17+'المصروفات التشغيلية'!$D17</f>
        <v>1120</v>
      </c>
      <c r="F17" s="5">
        <f ca="1">'المصروفات التشغيلية'!$E17+(10^-6)*ROW('المصروفات التشغيلية'!$E17)</f>
        <v>1120.0000170000001</v>
      </c>
      <c r="G17" s="2"/>
    </row>
    <row r="18" spans="1:12" ht="20.25" customHeight="1">
      <c r="A18" s="2"/>
      <c r="B18" s="10" t="s">
        <v>114</v>
      </c>
      <c r="C18" s="10">
        <f>1227+1589.12</f>
        <v>2816.12</v>
      </c>
      <c r="D18" s="10">
        <v>3178.88</v>
      </c>
      <c r="E18" s="9">
        <f ca="1">'المصروفات التشغيلية'!$C18+'المصروفات التشغيلية'!$D18</f>
        <v>5995</v>
      </c>
      <c r="F18" s="5">
        <f ca="1">'المصروفات التشغيلية'!$E18+(10^-6)*ROW('المصروفات التشغيلية'!$E18)</f>
        <v>5995.0000179999997</v>
      </c>
      <c r="G18" s="2"/>
    </row>
    <row r="19" spans="1:12" ht="20.25" customHeight="1">
      <c r="A19" s="2"/>
      <c r="B19" s="10" t="s">
        <v>112</v>
      </c>
      <c r="C19" s="14">
        <f>323+105+2322</f>
        <v>2750</v>
      </c>
      <c r="D19" s="10">
        <f>484+399+283</f>
        <v>1166</v>
      </c>
      <c r="E19" s="9">
        <f ca="1">'المصروفات التشغيلية'!$C19+'المصروفات التشغيلية'!$D19</f>
        <v>3916</v>
      </c>
      <c r="F19" s="5">
        <f ca="1">'المصروفات التشغيلية'!$E19+(10^-6)*ROW('المصروفات التشغيلية'!$E19)</f>
        <v>3916.0000190000001</v>
      </c>
      <c r="G19" s="2"/>
    </row>
    <row r="20" spans="1:12" ht="20.25" customHeight="1">
      <c r="A20" s="2"/>
      <c r="B20" s="10" t="s">
        <v>113</v>
      </c>
      <c r="C20" s="10">
        <v>32</v>
      </c>
      <c r="D20" s="10">
        <v>0</v>
      </c>
      <c r="E20" s="9">
        <f ca="1">'المصروفات التشغيلية'!$C20+'المصروفات التشغيلية'!$D20</f>
        <v>32</v>
      </c>
      <c r="F20" s="5">
        <f ca="1">'المصروفات التشغيلية'!$E20+(10^-6)*ROW('المصروفات التشغيلية'!$E20)</f>
        <v>32.000019999999999</v>
      </c>
      <c r="G20" s="2"/>
    </row>
    <row r="21" spans="1:12" ht="20.25" customHeight="1">
      <c r="A21" s="2"/>
      <c r="B21" s="10" t="s">
        <v>118</v>
      </c>
      <c r="C21" s="14">
        <v>0</v>
      </c>
      <c r="D21" s="10">
        <v>3400</v>
      </c>
      <c r="E21" s="9">
        <f ca="1">'المصروفات التشغيلية'!$C21+'المصروفات التشغيلية'!$D21</f>
        <v>3400</v>
      </c>
      <c r="F21" s="5">
        <f ca="1">'المصروفات التشغيلية'!$E21+(10^-6)*ROW('المصروفات التشغيلية'!$E21)</f>
        <v>3400.0000209999998</v>
      </c>
      <c r="G21" s="2"/>
    </row>
    <row r="22" spans="1:12" ht="20.25" customHeight="1">
      <c r="A22" s="2"/>
      <c r="B22" s="10" t="s">
        <v>117</v>
      </c>
      <c r="C22" s="14">
        <f>228</f>
        <v>228</v>
      </c>
      <c r="D22" s="10">
        <v>0</v>
      </c>
      <c r="E22" s="9">
        <f ca="1">'المصروفات التشغيلية'!$C22+'المصروفات التشغيلية'!$D22</f>
        <v>228</v>
      </c>
      <c r="F22" s="5">
        <f ca="1">'المصروفات التشغيلية'!$E22+(10^-6)*ROW('المصروفات التشغيلية'!$E22)</f>
        <v>228.000022</v>
      </c>
      <c r="G22" s="2"/>
    </row>
    <row r="23" spans="1:12" ht="22.5" customHeight="1">
      <c r="A23" s="2"/>
      <c r="B23" s="10" t="s">
        <v>116</v>
      </c>
      <c r="C23" s="10">
        <f>255</f>
        <v>255</v>
      </c>
      <c r="D23" s="10">
        <f>1400+2050+618</f>
        <v>4068</v>
      </c>
      <c r="E23" s="9">
        <f ca="1">'المصروفات التشغيلية'!$C23+'المصروفات التشغيلية'!$D23</f>
        <v>4323</v>
      </c>
      <c r="F23" s="5">
        <f ca="1">'المصروفات التشغيلية'!$E23+(10^-6)*ROW('المصروفات التشغيلية'!$E23)</f>
        <v>4323.0000229999996</v>
      </c>
      <c r="G23" s="2"/>
      <c r="L23">
        <v>449.57</v>
      </c>
    </row>
    <row r="24" spans="1:12" ht="22.5" customHeight="1">
      <c r="A24" s="2"/>
      <c r="B24" s="10" t="s">
        <v>128</v>
      </c>
      <c r="C24" s="21">
        <f>950+4820</f>
        <v>5770</v>
      </c>
      <c r="D24" s="22">
        <v>0</v>
      </c>
      <c r="E24" s="23">
        <f ca="1">'المصروفات التشغيلية'!$C24+'المصروفات التشغيلية'!$D24</f>
        <v>5770</v>
      </c>
      <c r="F24" s="5">
        <f ca="1">'المصروفات التشغيلية'!$E24+(10^-6)*ROW('المصروفات التشغيلية'!$E24)</f>
        <v>5770.0000239999999</v>
      </c>
      <c r="G24" s="2"/>
    </row>
    <row r="25" spans="1:12" ht="22.5" customHeight="1">
      <c r="A25" s="2"/>
      <c r="B25" s="10" t="s">
        <v>75</v>
      </c>
      <c r="C25" s="10">
        <f>2820+1099</f>
        <v>3919</v>
      </c>
      <c r="D25" s="10">
        <f>386+850+50</f>
        <v>1286</v>
      </c>
      <c r="E25" s="9">
        <f ca="1">'المصروفات التشغيلية'!$C25+'المصروفات التشغيلية'!$D25</f>
        <v>5205</v>
      </c>
      <c r="F25" s="5">
        <f ca="1">'المصروفات التشغيلية'!$E25+(10^-6)*ROW('المصروفات التشغيلية'!$E25)</f>
        <v>5205.0000250000003</v>
      </c>
      <c r="G25" s="2"/>
    </row>
    <row r="26" spans="1:12" ht="22.5" customHeight="1">
      <c r="A26" s="2"/>
      <c r="B26" s="10" t="s">
        <v>119</v>
      </c>
      <c r="C26" s="10">
        <f>14729.43</f>
        <v>14729.43</v>
      </c>
      <c r="D26" s="10">
        <v>0</v>
      </c>
      <c r="E26" s="9">
        <f ca="1">'المصروفات التشغيلية'!$C26+'المصروفات التشغيلية'!$D26</f>
        <v>14729.43</v>
      </c>
      <c r="F26" s="5">
        <f ca="1">'المصروفات التشغيلية'!$E26+(10^-6)*ROW('المصروفات التشغيلية'!$E26)</f>
        <v>14729.430026</v>
      </c>
      <c r="G26" s="2"/>
    </row>
    <row r="27" spans="1:12" ht="20.25" customHeight="1">
      <c r="A27" s="2"/>
      <c r="B27" s="10" t="s">
        <v>120</v>
      </c>
      <c r="C27" s="10">
        <f>1249</f>
        <v>1249</v>
      </c>
      <c r="D27" s="10">
        <v>0</v>
      </c>
      <c r="E27" s="9">
        <f ca="1">'المصروفات التشغيلية'!$C27+'المصروفات التشغيلية'!$D27</f>
        <v>1249</v>
      </c>
      <c r="F27" s="5">
        <f ca="1">'المصروفات التشغيلية'!$E27+(10^-6)*ROW('المصروفات التشغيلية'!$E27)</f>
        <v>1249.000027</v>
      </c>
      <c r="G27" s="2"/>
    </row>
    <row r="28" spans="1:12" ht="20.25" customHeight="1">
      <c r="A28" s="2"/>
      <c r="B28" s="10" t="s">
        <v>59</v>
      </c>
      <c r="C28" s="10">
        <f>1339+1284</f>
        <v>2623</v>
      </c>
      <c r="D28" s="10">
        <f>163+226</f>
        <v>389</v>
      </c>
      <c r="E28" s="9">
        <f ca="1">'المصروفات التشغيلية'!$C28+'المصروفات التشغيلية'!$D28</f>
        <v>3012</v>
      </c>
      <c r="F28" s="5">
        <f ca="1">'المصروفات التشغيلية'!$E28+(10^-6)*ROW('المصروفات التشغيلية'!$E28)</f>
        <v>3012.0000279999999</v>
      </c>
      <c r="G28" s="2"/>
    </row>
    <row r="29" spans="1:12" ht="20.25" customHeight="1">
      <c r="A29" s="2"/>
      <c r="B29" s="10" t="s">
        <v>76</v>
      </c>
      <c r="C29" s="10">
        <f>25000+1000</f>
        <v>26000</v>
      </c>
      <c r="D29" s="10">
        <v>0</v>
      </c>
      <c r="E29" s="9">
        <f ca="1">'المصروفات التشغيلية'!$C29+'المصروفات التشغيلية'!$D29</f>
        <v>26000</v>
      </c>
      <c r="F29" s="5">
        <f ca="1">'المصروفات التشغيلية'!$E29+(10^-6)*ROW('المصروفات التشغيلية'!$E29)</f>
        <v>26000.000028999999</v>
      </c>
      <c r="G29" s="2"/>
    </row>
    <row r="30" spans="1:12" ht="20.25" customHeight="1">
      <c r="A30" s="2"/>
      <c r="B30" s="10" t="s">
        <v>62</v>
      </c>
      <c r="C30" s="10">
        <f>800+385+135</f>
        <v>1320</v>
      </c>
      <c r="D30" s="10">
        <v>800</v>
      </c>
      <c r="E30" s="9">
        <f ca="1">'المصروفات التشغيلية'!$C30+'المصروفات التشغيلية'!$D30</f>
        <v>2120</v>
      </c>
      <c r="F30" s="5">
        <f ca="1">'المصروفات التشغيلية'!$E30+(10^-6)*ROW('المصروفات التشغيلية'!$E30)</f>
        <v>2120.0000300000002</v>
      </c>
      <c r="G30" s="2"/>
    </row>
    <row r="31" spans="1:12" ht="20.25" customHeight="1">
      <c r="A31" s="2"/>
      <c r="B31" s="10" t="s">
        <v>121</v>
      </c>
      <c r="C31" s="14">
        <f>500</f>
        <v>500</v>
      </c>
      <c r="D31" s="10">
        <v>0</v>
      </c>
      <c r="E31" s="9">
        <f ca="1">'المصروفات التشغيلية'!$C31+'المصروفات التشغيلية'!$D31</f>
        <v>500</v>
      </c>
      <c r="F31" s="5">
        <f ca="1">'المصروفات التشغيلية'!$E31+(10^-6)*ROW('المصروفات التشغيلية'!$E31)</f>
        <v>500.00003099999998</v>
      </c>
      <c r="G31" s="2"/>
    </row>
    <row r="32" spans="1:12" ht="20.25" customHeight="1">
      <c r="A32" s="2"/>
      <c r="B32" s="10" t="s">
        <v>122</v>
      </c>
      <c r="C32" s="14">
        <v>0</v>
      </c>
      <c r="D32" s="10">
        <v>670</v>
      </c>
      <c r="E32" s="9">
        <f ca="1">'المصروفات التشغيلية'!$C32+'المصروفات التشغيلية'!$D32</f>
        <v>670</v>
      </c>
      <c r="F32" s="5">
        <f ca="1">'المصروفات التشغيلية'!$E32+(10^-6)*ROW('المصروفات التشغيلية'!$E32)</f>
        <v>670.00003200000003</v>
      </c>
      <c r="G32" s="2"/>
    </row>
    <row r="33" spans="1:7" ht="20.25" customHeight="1">
      <c r="A33" s="2"/>
      <c r="B33" s="10" t="s">
        <v>123</v>
      </c>
      <c r="C33" s="14">
        <v>0</v>
      </c>
      <c r="D33" s="10">
        <f>20486.66+40866.66+10216.67</f>
        <v>71569.990000000005</v>
      </c>
      <c r="E33" s="9">
        <f ca="1">'المصروفات التشغيلية'!$C33+'المصروفات التشغيلية'!$D33</f>
        <v>71569.990000000005</v>
      </c>
      <c r="F33" s="5">
        <f ca="1">'المصروفات التشغيلية'!$E33+(10^-6)*ROW('المصروفات التشغيلية'!$E33)</f>
        <v>71569.990033000009</v>
      </c>
      <c r="G33" s="2"/>
    </row>
    <row r="34" spans="1:7" ht="20.25" customHeight="1">
      <c r="A34" s="2"/>
      <c r="B34" s="10" t="s">
        <v>77</v>
      </c>
      <c r="C34" s="10">
        <v>0</v>
      </c>
      <c r="D34" s="10">
        <v>324</v>
      </c>
      <c r="E34" s="9">
        <f ca="1">'المصروفات التشغيلية'!$C34+'المصروفات التشغيلية'!$D34</f>
        <v>324</v>
      </c>
      <c r="F34" s="5">
        <f ca="1">'المصروفات التشغيلية'!$E34+(10^-6)*ROW('المصروفات التشغيلية'!$E34)</f>
        <v>324.00003400000003</v>
      </c>
      <c r="G34" s="2"/>
    </row>
    <row r="35" spans="1:7" ht="20.25" customHeight="1">
      <c r="A35" s="2"/>
      <c r="B35" s="10" t="s">
        <v>124</v>
      </c>
      <c r="C35" s="14">
        <v>0</v>
      </c>
      <c r="D35" s="10">
        <f>700+1000</f>
        <v>1700</v>
      </c>
      <c r="E35" s="9">
        <f ca="1">'المصروفات التشغيلية'!$C35+'المصروفات التشغيلية'!$D35</f>
        <v>1700</v>
      </c>
      <c r="F35" s="5">
        <f ca="1">'المصروفات التشغيلية'!$E35+(10^-6)*ROW('المصروفات التشغيلية'!$E35)</f>
        <v>1700.000035</v>
      </c>
      <c r="G35" s="2"/>
    </row>
    <row r="36" spans="1:7" ht="20.25" customHeight="1">
      <c r="A36" s="2"/>
      <c r="B36" s="10" t="s">
        <v>125</v>
      </c>
      <c r="C36" s="14">
        <v>0</v>
      </c>
      <c r="D36" s="10">
        <f>900+1450+800</f>
        <v>3150</v>
      </c>
      <c r="E36" s="9">
        <f ca="1">'المصروفات التشغيلية'!$C36+'المصروفات التشغيلية'!$D36</f>
        <v>3150</v>
      </c>
      <c r="F36" s="5">
        <f ca="1">'المصروفات التشغيلية'!$E36+(10^-6)*ROW('المصروفات التشغيلية'!$E36)</f>
        <v>3150.0000359999999</v>
      </c>
      <c r="G36" s="2"/>
    </row>
    <row r="37" spans="1:7" ht="20.25" customHeight="1" thickBot="1">
      <c r="A37" s="2"/>
      <c r="B37" s="10" t="s">
        <v>127</v>
      </c>
      <c r="C37" s="21">
        <f>170</f>
        <v>170</v>
      </c>
      <c r="D37" s="22">
        <v>0</v>
      </c>
      <c r="E37" s="23">
        <f ca="1">'المصروفات التشغيلية'!$C37+'المصروفات التشغيلية'!$D37</f>
        <v>170</v>
      </c>
      <c r="F37" s="5">
        <f ca="1">'المصروفات التشغيلية'!$E37+(10^-6)*ROW('المصروفات التشغيلية'!$E37)</f>
        <v>170.00003699999999</v>
      </c>
      <c r="G37" s="2"/>
    </row>
    <row r="38" spans="1:7" ht="30" customHeight="1" thickTop="1" thickBot="1">
      <c r="A38" s="2"/>
      <c r="B38" s="32" t="s">
        <v>4</v>
      </c>
      <c r="C38" s="33">
        <f>SUBTOTAL(109,C5:C37)</f>
        <v>568285.66</v>
      </c>
      <c r="D38" s="33">
        <f>SUBTOTAL(109,D5:D37)</f>
        <v>246461.37</v>
      </c>
      <c r="E38" s="33">
        <f>SUBTOTAL(109,E5:E37)</f>
        <v>814747.03</v>
      </c>
      <c r="F38" s="13"/>
      <c r="G38" s="2"/>
    </row>
    <row r="39" spans="1:7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D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D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D4"/>
    <dataValidation allowBlank="1" showInputMessage="1" showErrorMessage="1" prompt="أدخل المبلغ &quot;الفعلي&quot; في هذا العمود أسفل هذا العنوان" sqref="E4"/>
  </dataValidations>
  <printOptions horizontalCentered="1"/>
  <pageMargins left="0.25" right="0.25" top="0.25" bottom="0.25" header="0" footer="0"/>
  <pageSetup paperSize="9" scale="9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29"/>
  <sheetViews>
    <sheetView showGridLines="0" rightToLeft="1" view="pageBreakPreview" zoomScale="60" zoomScaleNormal="100" workbookViewId="0">
      <selection activeCell="B29" sqref="B29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61" t="s">
        <v>149</v>
      </c>
      <c r="C1" s="61"/>
      <c r="D1" s="61"/>
      <c r="E1" s="61"/>
    </row>
    <row r="2" spans="1:5" ht="23.25" customHeight="1">
      <c r="A2" s="2"/>
      <c r="B2" s="56" t="s">
        <v>5</v>
      </c>
      <c r="C2" s="57"/>
      <c r="D2" s="57"/>
      <c r="E2" s="57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6</v>
      </c>
      <c r="C4" s="6" t="s">
        <v>78</v>
      </c>
      <c r="D4" s="3" t="s">
        <v>2</v>
      </c>
      <c r="E4" s="2"/>
    </row>
    <row r="5" spans="1:5" ht="19.5" customHeight="1">
      <c r="A5" s="2"/>
      <c r="B5" s="8" t="s">
        <v>7</v>
      </c>
      <c r="C5" s="9"/>
      <c r="D5" s="5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0" t="s">
        <v>80</v>
      </c>
      <c r="C6" s="9">
        <v>437700</v>
      </c>
      <c r="D6" s="5">
        <f ca="1">'مصروفات الاسر'!$C6+(10^-6)*ROW('مصروفات الاسر'!$C6)</f>
        <v>437700.00000599999</v>
      </c>
      <c r="E6" s="2"/>
    </row>
    <row r="7" spans="1:5" ht="19.5" customHeight="1">
      <c r="A7" s="2"/>
      <c r="B7" s="10" t="s">
        <v>81</v>
      </c>
      <c r="C7" s="9">
        <v>96200</v>
      </c>
      <c r="D7" s="5">
        <f ca="1">'مصروفات الاسر'!$C7+(10^-6)*ROW('مصروفات الاسر'!$C7)</f>
        <v>96200.000006999995</v>
      </c>
      <c r="E7" s="2"/>
    </row>
    <row r="8" spans="1:5" ht="19.5" customHeight="1">
      <c r="A8" s="2"/>
      <c r="B8" s="10" t="s">
        <v>82</v>
      </c>
      <c r="C8" s="9">
        <v>35400</v>
      </c>
      <c r="D8" s="5">
        <f ca="1">'مصروفات الاسر'!$C8+(10^-6)*ROW('مصروفات الاسر'!$C8)</f>
        <v>35400.000008000003</v>
      </c>
      <c r="E8" s="2"/>
    </row>
    <row r="9" spans="1:5" ht="19.5" customHeight="1">
      <c r="A9" s="2"/>
      <c r="B9" s="10" t="s">
        <v>99</v>
      </c>
      <c r="C9" s="9">
        <v>1955</v>
      </c>
      <c r="D9" s="5">
        <f ca="1">'مصروفات الاسر'!$C9+(10^-6)*ROW('مصروفات الاسر'!$C9)</f>
        <v>1955.0000090000001</v>
      </c>
      <c r="E9" s="2"/>
    </row>
    <row r="10" spans="1:5" ht="19.5" customHeight="1">
      <c r="A10" s="2"/>
      <c r="B10" s="10" t="s">
        <v>66</v>
      </c>
      <c r="C10" s="9">
        <v>15000</v>
      </c>
      <c r="D10" s="5">
        <f ca="1">'مصروفات الاسر'!$C10+(10^-6)*ROW('مصروفات الاسر'!$C10)</f>
        <v>15000.00001</v>
      </c>
      <c r="E10" s="2"/>
    </row>
    <row r="11" spans="1:5" ht="19.5" customHeight="1">
      <c r="A11" s="2"/>
      <c r="B11" s="10" t="s">
        <v>100</v>
      </c>
      <c r="C11" s="9">
        <v>72500</v>
      </c>
      <c r="D11" s="5">
        <f ca="1">'مصروفات الاسر'!$C11+(10^-6)*ROW('مصروفات الاسر'!$C11)</f>
        <v>72500.000010999996</v>
      </c>
      <c r="E11" s="2"/>
    </row>
    <row r="12" spans="1:5" ht="19.5" customHeight="1">
      <c r="A12" s="2"/>
      <c r="B12" s="10" t="s">
        <v>101</v>
      </c>
      <c r="C12" s="9">
        <v>3200</v>
      </c>
      <c r="D12" s="5">
        <f ca="1">'مصروفات الاسر'!$C12+(10^-6)*ROW('مصروفات الاسر'!$C12)</f>
        <v>3200.000012</v>
      </c>
      <c r="E12" s="2"/>
    </row>
    <row r="13" spans="1:5" ht="19.5" customHeight="1">
      <c r="A13" s="2"/>
      <c r="B13" s="10" t="s">
        <v>102</v>
      </c>
      <c r="C13" s="9">
        <v>11508</v>
      </c>
      <c r="D13" s="5">
        <f ca="1">'مصروفات الاسر'!$C13+(10^-6)*ROW('مصروفات الاسر'!$C13)</f>
        <v>11508.000013000001</v>
      </c>
      <c r="E13" s="2"/>
    </row>
    <row r="14" spans="1:5" ht="19.5" customHeight="1" thickBot="1">
      <c r="A14" s="2"/>
      <c r="B14" s="10" t="s">
        <v>129</v>
      </c>
      <c r="C14" s="9">
        <v>842</v>
      </c>
      <c r="D14" s="5">
        <f ca="1">'مصروفات الاسر'!$C14+(10^-6)*ROW('مصروفات الاسر'!$C14)</f>
        <v>842.00001399999996</v>
      </c>
      <c r="E14" s="2"/>
    </row>
    <row r="15" spans="1:5" ht="20.25" customHeight="1" thickTop="1" thickBot="1">
      <c r="A15" s="2"/>
      <c r="B15" s="25" t="s">
        <v>141</v>
      </c>
      <c r="C15" s="26">
        <f>SUBTOTAL(109,C6:C14)</f>
        <v>674305</v>
      </c>
      <c r="D15" s="5">
        <f ca="1">'مصروفات الاسر'!$C15+(10^-6)*ROW('مصروفات الاسر'!$C15)</f>
        <v>674305.000015</v>
      </c>
      <c r="E15" s="2"/>
    </row>
    <row r="16" spans="1:5" ht="19.5" customHeight="1" thickTop="1">
      <c r="A16" s="2"/>
      <c r="B16" s="8" t="s">
        <v>9</v>
      </c>
      <c r="C16" s="9"/>
      <c r="D16" s="5">
        <f ca="1">'مصروفات الاسر'!$C16+(10^-6)*ROW('مصروفات الاسر'!$C16)</f>
        <v>1.5999999999999999E-5</v>
      </c>
      <c r="E16" s="2"/>
    </row>
    <row r="17" spans="1:5" ht="19.5" customHeight="1">
      <c r="A17" s="2"/>
      <c r="B17" s="10" t="s">
        <v>67</v>
      </c>
      <c r="C17" s="9">
        <v>44100</v>
      </c>
      <c r="D17" s="5">
        <f ca="1">'مصروفات الاسر'!$C17+(10^-6)*ROW('مصروفات الاسر'!$C17)</f>
        <v>44100.000016999998</v>
      </c>
      <c r="E17" s="2"/>
    </row>
    <row r="18" spans="1:5" ht="30.75" customHeight="1">
      <c r="A18" s="2"/>
      <c r="B18" s="10" t="s">
        <v>68</v>
      </c>
      <c r="C18" s="9">
        <v>932</v>
      </c>
      <c r="D18" s="5">
        <f ca="1">'مصروفات الاسر'!$C18+(10^-6)*ROW('مصروفات الاسر'!$C18)</f>
        <v>932.00001799999995</v>
      </c>
      <c r="E18" s="2"/>
    </row>
    <row r="19" spans="1:5" ht="20.25" customHeight="1">
      <c r="A19" s="2"/>
      <c r="B19" s="10" t="s">
        <v>69</v>
      </c>
      <c r="C19" s="9">
        <v>8943</v>
      </c>
      <c r="D19" s="5">
        <f ca="1">'مصروفات الاسر'!$C19+(10^-6)*ROW('مصروفات الاسر'!$C19)</f>
        <v>8943.0000189999992</v>
      </c>
      <c r="E19" s="2"/>
    </row>
    <row r="20" spans="1:5" ht="20.25" customHeight="1">
      <c r="A20" s="2"/>
      <c r="B20" s="10" t="s">
        <v>103</v>
      </c>
      <c r="C20" s="9">
        <v>1344</v>
      </c>
      <c r="D20" s="5">
        <f ca="1">'مصروفات الاسر'!$C20+(10^-6)*ROW('مصروفات الاسر'!$C20)</f>
        <v>1344.0000199999999</v>
      </c>
      <c r="E20" s="2"/>
    </row>
    <row r="21" spans="1:5" ht="20.25" customHeight="1" thickBot="1">
      <c r="A21" s="2"/>
      <c r="B21" s="10" t="s">
        <v>104</v>
      </c>
      <c r="C21" s="9">
        <v>1650</v>
      </c>
      <c r="D21" s="5">
        <f ca="1">'مصروفات الاسر'!$C21+(10^-6)*ROW('مصروفات الاسر'!$C21)</f>
        <v>1650.0000210000001</v>
      </c>
      <c r="E21" s="2"/>
    </row>
    <row r="22" spans="1:5" ht="20.25" customHeight="1" thickTop="1" thickBot="1">
      <c r="A22" s="2"/>
      <c r="B22" s="25" t="s">
        <v>142</v>
      </c>
      <c r="C22" s="26">
        <f>SUBTOTAL(109,C17:C21)</f>
        <v>56969</v>
      </c>
      <c r="D22" s="5">
        <f ca="1">'مصروفات الاسر'!$C22+(10^-6)*ROW('مصروفات الاسر'!$C22)</f>
        <v>56969.000022</v>
      </c>
      <c r="E22" s="2"/>
    </row>
    <row r="23" spans="1:5" ht="19.5" customHeight="1" thickTop="1">
      <c r="A23" s="2"/>
      <c r="B23" s="8" t="s">
        <v>10</v>
      </c>
      <c r="C23" s="9"/>
      <c r="D23" s="5">
        <f ca="1">'مصروفات الاسر'!$C23+(10^-6)*ROW('مصروفات الاسر'!$C23)</f>
        <v>2.3E-5</v>
      </c>
      <c r="E23" s="2"/>
    </row>
    <row r="24" spans="1:5" ht="19.5" customHeight="1">
      <c r="A24" s="2"/>
      <c r="B24" s="10" t="s">
        <v>70</v>
      </c>
      <c r="C24" s="9">
        <v>7499</v>
      </c>
      <c r="D24" s="5">
        <f ca="1">'مصروفات الاسر'!$C24+(10^-6)*ROW('مصروفات الاسر'!$C24)</f>
        <v>7499.0000239999999</v>
      </c>
      <c r="E24" s="2"/>
    </row>
    <row r="25" spans="1:5" ht="19.5" customHeight="1" thickBot="1">
      <c r="A25" s="2"/>
      <c r="B25" s="10" t="s">
        <v>71</v>
      </c>
      <c r="C25" s="9">
        <v>14650</v>
      </c>
      <c r="D25" s="5">
        <f ca="1">'مصروفات الاسر'!$C25+(10^-6)*ROW('مصروفات الاسر'!$C25)</f>
        <v>14650.000024999999</v>
      </c>
      <c r="E25" s="2"/>
    </row>
    <row r="26" spans="1:5" ht="19.5" customHeight="1" thickTop="1" thickBot="1">
      <c r="A26" s="2"/>
      <c r="B26" s="25" t="s">
        <v>143</v>
      </c>
      <c r="C26" s="26">
        <f>SUBTOTAL(109,C24:C25)</f>
        <v>22149</v>
      </c>
      <c r="D26" s="5">
        <f ca="1">'مصروفات الاسر'!$C26+(10^-6)*ROW('مصروفات الاسر'!$C26)</f>
        <v>22149.000026000002</v>
      </c>
      <c r="E26" s="2"/>
    </row>
    <row r="27" spans="1:5" ht="15" customHeight="1" thickTop="1" thickBot="1">
      <c r="A27" s="2"/>
      <c r="B27" s="10"/>
      <c r="C27" s="9"/>
      <c r="D27" s="5">
        <f ca="1">'مصروفات الاسر'!$C27+(10^-6)*ROW('مصروفات الاسر'!$C27)</f>
        <v>2.6999999999999999E-5</v>
      </c>
      <c r="E27" s="2"/>
    </row>
    <row r="28" spans="1:5" ht="30" customHeight="1" thickTop="1" thickBot="1">
      <c r="A28" s="2"/>
      <c r="B28" s="30" t="s">
        <v>8</v>
      </c>
      <c r="C28" s="31">
        <f>C15+C22+C26</f>
        <v>753423</v>
      </c>
      <c r="D28" s="27"/>
      <c r="E28" s="2"/>
    </row>
    <row r="29" spans="1:5" ht="30" customHeight="1" thickTop="1"/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E43"/>
  <sheetViews>
    <sheetView showGridLines="0" rightToLeft="1" view="pageBreakPreview" zoomScale="60" zoomScaleNormal="100" workbookViewId="0">
      <selection activeCell="B9" sqref="B9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61" t="s">
        <v>149</v>
      </c>
      <c r="C1" s="61"/>
      <c r="D1" s="61"/>
      <c r="E1" s="61"/>
    </row>
    <row r="2" spans="1:5" ht="26.25" customHeight="1">
      <c r="A2" s="2"/>
      <c r="B2" s="56" t="s">
        <v>47</v>
      </c>
      <c r="C2" s="57"/>
      <c r="D2" s="57"/>
      <c r="E2" s="57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3" t="s">
        <v>11</v>
      </c>
      <c r="C4" s="4" t="s">
        <v>1</v>
      </c>
      <c r="D4" s="3" t="s">
        <v>2</v>
      </c>
      <c r="E4" s="2"/>
    </row>
    <row r="5" spans="1:5" ht="19.5" customHeight="1">
      <c r="A5" s="2"/>
      <c r="B5" s="8" t="s">
        <v>12</v>
      </c>
      <c r="C5" s="9"/>
      <c r="D5" s="5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0" t="s">
        <v>31</v>
      </c>
      <c r="C6" s="9">
        <v>37530.43</v>
      </c>
      <c r="D6" s="5">
        <f ca="1">'الايرادات التبرعات'!$C6+(10^-6)*ROW('الايرادات التبرعات'!$C6)</f>
        <v>37530.430006000002</v>
      </c>
      <c r="E6" s="2"/>
    </row>
    <row r="7" spans="1:5" ht="19.5" customHeight="1">
      <c r="A7" s="2"/>
      <c r="B7" s="10" t="s">
        <v>89</v>
      </c>
      <c r="C7" s="9">
        <v>20018</v>
      </c>
      <c r="D7" s="5">
        <f ca="1">'الايرادات التبرعات'!$C7+(10^-6)*ROW('الايرادات التبرعات'!$C7)</f>
        <v>20018.000006999999</v>
      </c>
      <c r="E7" s="2"/>
    </row>
    <row r="8" spans="1:5" ht="19.5" customHeight="1">
      <c r="A8" s="2"/>
      <c r="B8" s="10" t="s">
        <v>90</v>
      </c>
      <c r="C8" s="9">
        <v>295</v>
      </c>
      <c r="D8" s="5">
        <f ca="1">'الايرادات التبرعات'!$C8+(10^-6)*ROW('الايرادات التبرعات'!$C8)</f>
        <v>295.00000799999998</v>
      </c>
      <c r="E8" s="2"/>
    </row>
    <row r="9" spans="1:5" ht="19.5" customHeight="1">
      <c r="A9" s="2"/>
      <c r="B9" s="10" t="s">
        <v>72</v>
      </c>
      <c r="C9" s="9">
        <v>15000</v>
      </c>
      <c r="D9" s="5">
        <f ca="1">'الايرادات التبرعات'!$C9+(10^-6)*ROW('الايرادات التبرعات'!$C9)</f>
        <v>15000.000008999999</v>
      </c>
      <c r="E9" s="2"/>
    </row>
    <row r="10" spans="1:5" ht="19.5" customHeight="1">
      <c r="A10" s="2"/>
      <c r="B10" s="10" t="s">
        <v>91</v>
      </c>
      <c r="C10" s="9">
        <v>52000</v>
      </c>
      <c r="D10" s="5">
        <f ca="1">'الايرادات التبرعات'!$C10+(10^-6)*ROW('الايرادات التبرعات'!$C10)</f>
        <v>52000.000010000003</v>
      </c>
      <c r="E10" s="2"/>
    </row>
    <row r="11" spans="1:5" ht="19.5" customHeight="1">
      <c r="A11" s="2"/>
      <c r="B11" s="10" t="s">
        <v>92</v>
      </c>
      <c r="C11" s="9">
        <v>120000</v>
      </c>
      <c r="D11" s="5">
        <f ca="1">'الايرادات التبرعات'!$C11+(10^-6)*ROW('الايرادات التبرعات'!$C11)</f>
        <v>120000.000011</v>
      </c>
      <c r="E11" s="2"/>
    </row>
    <row r="12" spans="1:5" ht="19.5" customHeight="1">
      <c r="A12" s="2"/>
      <c r="B12" s="10" t="s">
        <v>93</v>
      </c>
      <c r="C12" s="9">
        <v>35000</v>
      </c>
      <c r="D12" s="5">
        <f ca="1">'الايرادات التبرعات'!$C12+(10^-6)*ROW('الايرادات التبرعات'!$C12)</f>
        <v>35000.000011999997</v>
      </c>
      <c r="E12" s="2"/>
    </row>
    <row r="13" spans="1:5" ht="19.5" customHeight="1">
      <c r="A13" s="2"/>
      <c r="B13" s="10" t="s">
        <v>94</v>
      </c>
      <c r="C13" s="9">
        <v>15000</v>
      </c>
      <c r="D13" s="5">
        <f ca="1">'الايرادات التبرعات'!$C13+(10^-6)*ROW('الايرادات التبرعات'!$C13)</f>
        <v>15000.000013000001</v>
      </c>
      <c r="E13" s="2"/>
    </row>
    <row r="14" spans="1:5" ht="19.5" customHeight="1">
      <c r="A14" s="2"/>
      <c r="B14" s="10" t="s">
        <v>95</v>
      </c>
      <c r="C14" s="9">
        <v>6000</v>
      </c>
      <c r="D14" s="5">
        <f ca="1">'الايرادات التبرعات'!$C14+(10^-6)*ROW('الايرادات التبرعات'!$C14)</f>
        <v>6000.0000140000002</v>
      </c>
      <c r="E14" s="2"/>
    </row>
    <row r="15" spans="1:5" ht="19.5" customHeight="1">
      <c r="A15" s="2"/>
      <c r="B15" s="10" t="s">
        <v>41</v>
      </c>
      <c r="C15" s="9">
        <v>5771.28</v>
      </c>
      <c r="D15" s="5">
        <f ca="1">'الايرادات التبرعات'!$C15+(10^-6)*ROW('الايرادات التبرعات'!$C15)</f>
        <v>5771.2800149999994</v>
      </c>
      <c r="E15" s="2"/>
    </row>
    <row r="16" spans="1:5" ht="19.5" customHeight="1" thickBot="1">
      <c r="A16" s="2"/>
      <c r="B16" s="10" t="s">
        <v>42</v>
      </c>
      <c r="C16" s="9">
        <v>23941.8</v>
      </c>
      <c r="D16" s="5">
        <f ca="1">'الايرادات التبرعات'!$C16+(10^-6)*ROW('الايرادات التبرعات'!$C16)</f>
        <v>23941.800016000001</v>
      </c>
      <c r="E16" s="2"/>
    </row>
    <row r="17" spans="1:5" ht="19.5" customHeight="1" thickTop="1" thickBot="1">
      <c r="A17" s="2"/>
      <c r="B17" s="25" t="s">
        <v>138</v>
      </c>
      <c r="C17" s="26">
        <f>SUBTOTAL(109,C6:C16)</f>
        <v>330556.51</v>
      </c>
      <c r="D17" s="5">
        <f ca="1">'الايرادات التبرعات'!$C17+(10^-6)*ROW('الايرادات التبرعات'!$C17)</f>
        <v>330556.51001700002</v>
      </c>
      <c r="E17" s="2"/>
    </row>
    <row r="18" spans="1:5" ht="19.5" customHeight="1" thickTop="1">
      <c r="A18" s="2"/>
      <c r="B18" s="8" t="s">
        <v>13</v>
      </c>
      <c r="C18" s="9"/>
      <c r="D18" s="5">
        <f ca="1">'الايرادات التبرعات'!$C18+(10^-6)*ROW('الايرادات التبرعات'!$C18)</f>
        <v>1.8E-5</v>
      </c>
      <c r="E18" s="2"/>
    </row>
    <row r="19" spans="1:5" ht="19.5" customHeight="1">
      <c r="A19" s="2"/>
      <c r="B19" s="10"/>
      <c r="C19" s="9"/>
      <c r="D19" s="5">
        <f ca="1">'الايرادات التبرعات'!$C19+(10^-6)*ROW('الايرادات التبرعات'!$C19)</f>
        <v>1.8999999999999998E-5</v>
      </c>
      <c r="E19" s="2"/>
    </row>
    <row r="20" spans="1:5" ht="19.5" customHeight="1">
      <c r="A20" s="2"/>
      <c r="B20" s="8" t="s">
        <v>14</v>
      </c>
      <c r="C20" s="9"/>
      <c r="D20" s="5">
        <f ca="1">'الايرادات التبرعات'!$C20+(10^-6)*ROW('الايرادات التبرعات'!$C20)</f>
        <v>1.9999999999999998E-5</v>
      </c>
      <c r="E20" s="2"/>
    </row>
    <row r="21" spans="1:5" ht="19.5" customHeight="1">
      <c r="A21" s="2"/>
      <c r="B21" s="10" t="s">
        <v>87</v>
      </c>
      <c r="C21" s="9">
        <v>100</v>
      </c>
      <c r="D21" s="5">
        <f ca="1">'الايرادات التبرعات'!$C21+(10^-6)*ROW('الايرادات التبرعات'!$C21)</f>
        <v>100.000021</v>
      </c>
      <c r="E21" s="2"/>
    </row>
    <row r="22" spans="1:5" ht="19.5" customHeight="1">
      <c r="A22" s="2"/>
      <c r="B22" s="10" t="s">
        <v>88</v>
      </c>
      <c r="C22" s="9">
        <v>7499</v>
      </c>
      <c r="D22" s="5">
        <f ca="1">'الايرادات التبرعات'!$C22+(10^-6)*ROW('الايرادات التبرعات'!$C22)</f>
        <v>7499.0000220000002</v>
      </c>
      <c r="E22" s="2"/>
    </row>
    <row r="23" spans="1:5" ht="19.5" customHeight="1">
      <c r="A23" s="2"/>
      <c r="B23" s="10" t="s">
        <v>43</v>
      </c>
      <c r="C23" s="9">
        <v>53321.36</v>
      </c>
      <c r="D23" s="5">
        <f ca="1">'الايرادات التبرعات'!$C23+(10^-6)*ROW('الايرادات التبرعات'!$C23)</f>
        <v>53321.360023000001</v>
      </c>
      <c r="E23" s="2"/>
    </row>
    <row r="24" spans="1:5" ht="19.5" customHeight="1">
      <c r="A24" s="2"/>
      <c r="B24" s="10" t="s">
        <v>86</v>
      </c>
      <c r="C24" s="9">
        <v>136980</v>
      </c>
      <c r="D24" s="5">
        <f ca="1">'الايرادات التبرعات'!$C24+(10^-6)*ROW('الايرادات التبرعات'!$C24)</f>
        <v>136980.00002400001</v>
      </c>
      <c r="E24" s="2"/>
    </row>
    <row r="25" spans="1:5" ht="19.5" customHeight="1">
      <c r="A25" s="2"/>
      <c r="B25" s="10" t="s">
        <v>44</v>
      </c>
      <c r="C25" s="9">
        <v>851</v>
      </c>
      <c r="D25" s="5">
        <f ca="1">'الايرادات التبرعات'!$C25+(10^-6)*ROW('الايرادات التبرعات'!$C25)</f>
        <v>851.00002500000005</v>
      </c>
      <c r="E25" s="2"/>
    </row>
    <row r="26" spans="1:5" ht="19.5" customHeight="1">
      <c r="A26" s="2"/>
      <c r="B26" s="10" t="s">
        <v>45</v>
      </c>
      <c r="C26" s="9">
        <v>5020</v>
      </c>
      <c r="D26" s="5">
        <f ca="1">'الايرادات التبرعات'!$C26+(10^-6)*ROW('الايرادات التبرعات'!$C26)</f>
        <v>5020.0000259999997</v>
      </c>
      <c r="E26" s="2"/>
    </row>
    <row r="27" spans="1:5" ht="19.5" customHeight="1" thickBot="1">
      <c r="A27" s="2"/>
      <c r="B27" s="10" t="s">
        <v>46</v>
      </c>
      <c r="C27" s="9">
        <v>70447</v>
      </c>
      <c r="D27" s="5">
        <f ca="1">'الايرادات التبرعات'!$C27+(10^-6)*ROW('الايرادات التبرعات'!$C27)</f>
        <v>70447.000027000002</v>
      </c>
      <c r="E27" s="2"/>
    </row>
    <row r="28" spans="1:5" ht="19.5" customHeight="1" thickTop="1" thickBot="1">
      <c r="A28" s="2"/>
      <c r="B28" s="25" t="s">
        <v>139</v>
      </c>
      <c r="C28" s="26">
        <f>SUBTOTAL(109,C21:C27)</f>
        <v>274218.36</v>
      </c>
      <c r="D28" s="5">
        <f ca="1">'الايرادات التبرعات'!$C28+(10^-6)*ROW('الايرادات التبرعات'!$C28)</f>
        <v>274218.36002799997</v>
      </c>
      <c r="E28" s="2"/>
    </row>
    <row r="29" spans="1:5" ht="19.5" customHeight="1" thickTop="1">
      <c r="A29" s="2"/>
      <c r="B29" s="8" t="s">
        <v>79</v>
      </c>
      <c r="C29" s="9"/>
      <c r="D29" s="5">
        <f ca="1">'الايرادات التبرعات'!$C29+(10^-6)*ROW('الايرادات التبرعات'!$C29)</f>
        <v>2.9E-5</v>
      </c>
      <c r="E29" s="2"/>
    </row>
    <row r="30" spans="1:5" ht="19.5" customHeight="1">
      <c r="A30" s="2"/>
      <c r="B30" s="17" t="s">
        <v>83</v>
      </c>
      <c r="C30" s="9">
        <v>38889</v>
      </c>
      <c r="D30" s="5">
        <f ca="1">'الايرادات التبرعات'!$C30+(10^-6)*ROW('الايرادات التبرعات'!$C30)</f>
        <v>38889.000030000003</v>
      </c>
      <c r="E30" s="2"/>
    </row>
    <row r="31" spans="1:5" ht="19.5" customHeight="1">
      <c r="A31" s="2"/>
      <c r="B31" s="17" t="s">
        <v>48</v>
      </c>
      <c r="C31" s="9">
        <v>38889</v>
      </c>
      <c r="D31" s="5">
        <f ca="1">'الايرادات التبرعات'!$C31+(10^-6)*ROW('الايرادات التبرعات'!$C31)</f>
        <v>38889.000031000003</v>
      </c>
      <c r="E31" s="2"/>
    </row>
    <row r="32" spans="1:5" ht="19.5" customHeight="1">
      <c r="A32" s="2"/>
      <c r="B32" s="17" t="s">
        <v>49</v>
      </c>
      <c r="C32" s="9">
        <v>40917</v>
      </c>
      <c r="D32" s="5">
        <f ca="1">'الايرادات التبرعات'!$C32+(10^-6)*ROW('الايرادات التبرعات'!$C32)</f>
        <v>40917.000032000004</v>
      </c>
      <c r="E32" s="2"/>
    </row>
    <row r="33" spans="1:5" ht="19.5" customHeight="1">
      <c r="A33" s="2"/>
      <c r="B33" s="17" t="s">
        <v>50</v>
      </c>
      <c r="C33" s="9">
        <v>20833</v>
      </c>
      <c r="D33" s="5">
        <f ca="1">'الايرادات التبرعات'!$C33+(10^-6)*ROW('الايرادات التبرعات'!$C33)</f>
        <v>20833.000033</v>
      </c>
      <c r="E33" s="2"/>
    </row>
    <row r="34" spans="1:5" ht="19.5" customHeight="1">
      <c r="A34" s="2"/>
      <c r="B34" s="10" t="s">
        <v>84</v>
      </c>
      <c r="C34" s="9">
        <v>50000</v>
      </c>
      <c r="D34" s="5">
        <f ca="1">'الايرادات التبرعات'!$C34+(10^-6)*ROW('الايرادات التبرعات'!$C34)</f>
        <v>50000.000033999997</v>
      </c>
      <c r="E34" s="2"/>
    </row>
    <row r="35" spans="1:5" ht="19.5" customHeight="1">
      <c r="A35" s="2"/>
      <c r="B35" s="17" t="s">
        <v>85</v>
      </c>
      <c r="C35" s="9">
        <v>7778</v>
      </c>
      <c r="D35" s="5">
        <f ca="1">'الايرادات التبرعات'!$C35+(10^-6)*ROW('الايرادات التبرعات'!$C35)</f>
        <v>7778.000035</v>
      </c>
      <c r="E35" s="2"/>
    </row>
    <row r="36" spans="1:5" ht="19.5" customHeight="1">
      <c r="A36" s="2"/>
      <c r="B36" s="10" t="s">
        <v>96</v>
      </c>
      <c r="C36" s="9">
        <v>3000</v>
      </c>
      <c r="D36" s="5">
        <f ca="1">'الايرادات التبرعات'!$C36+(10^-6)*ROW('الايرادات التبرعات'!$C36)</f>
        <v>3000.0000359999999</v>
      </c>
      <c r="E36" s="2"/>
    </row>
    <row r="37" spans="1:5" ht="19.5" customHeight="1">
      <c r="A37" s="2"/>
      <c r="B37" s="10" t="s">
        <v>97</v>
      </c>
      <c r="C37" s="9">
        <v>10000</v>
      </c>
      <c r="D37" s="5">
        <f ca="1">'الايرادات التبرعات'!$C37+(10^-6)*ROW('الايرادات التبرعات'!$C37)</f>
        <v>10000.000037</v>
      </c>
      <c r="E37" s="2"/>
    </row>
    <row r="38" spans="1:5" ht="19.5" customHeight="1">
      <c r="A38" s="2"/>
      <c r="B38" s="10" t="s">
        <v>98</v>
      </c>
      <c r="C38" s="9">
        <v>20000</v>
      </c>
      <c r="D38" s="5">
        <f ca="1">'الايرادات التبرعات'!$C38+(10^-6)*ROW('الايرادات التبرعات'!$C38)</f>
        <v>20000.000037999998</v>
      </c>
      <c r="E38" s="2"/>
    </row>
    <row r="39" spans="1:5" ht="19.5" customHeight="1" thickBot="1">
      <c r="A39" s="2"/>
      <c r="B39" s="10" t="s">
        <v>130</v>
      </c>
      <c r="C39" s="9">
        <v>878</v>
      </c>
      <c r="D39" s="5">
        <f ca="1">'الايرادات التبرعات'!$C39+(10^-6)*ROW('الايرادات التبرعات'!$C39)</f>
        <v>878.00003900000002</v>
      </c>
      <c r="E39" s="2"/>
    </row>
    <row r="40" spans="1:5" ht="19.5" customHeight="1" thickTop="1" thickBot="1">
      <c r="A40" s="2"/>
      <c r="B40" s="25" t="s">
        <v>140</v>
      </c>
      <c r="C40" s="26">
        <f>SUBTOTAL(109,C30:C39)</f>
        <v>231184</v>
      </c>
      <c r="D40" s="5">
        <f ca="1">'الايرادات التبرعات'!$C40+(10^-6)*ROW('الايرادات التبرعات'!$C40)</f>
        <v>231184.00004000001</v>
      </c>
      <c r="E40" s="2"/>
    </row>
    <row r="41" spans="1:5" ht="12.75" customHeight="1" thickTop="1" thickBot="1">
      <c r="A41" s="2"/>
      <c r="B41" s="28"/>
      <c r="C41" s="29"/>
      <c r="D41" s="5">
        <f ca="1">'الايرادات التبرعات'!$C41+(10^-6)*ROW('الايرادات التبرعات'!$C41)</f>
        <v>4.1E-5</v>
      </c>
      <c r="E41" s="2"/>
    </row>
    <row r="42" spans="1:5" ht="30" customHeight="1" thickTop="1" thickBot="1">
      <c r="A42" s="2"/>
      <c r="B42" s="30" t="s">
        <v>17</v>
      </c>
      <c r="C42" s="31">
        <f>C17+C28+C40</f>
        <v>835958.87</v>
      </c>
      <c r="D42" s="27"/>
      <c r="E42" s="2"/>
    </row>
    <row r="43" spans="1:5" ht="30" customHeight="1" thickTop="1"/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29"/>
  <sheetViews>
    <sheetView showGridLines="0" rightToLeft="1" topLeftCell="A16" zoomScaleNormal="100" workbookViewId="0">
      <selection activeCell="C30" sqref="C30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5" width="12.5" style="1" customWidth="1"/>
    <col min="6" max="6" width="21.875" style="1" hidden="1" customWidth="1"/>
    <col min="7" max="7" width="4" style="1" customWidth="1"/>
    <col min="8" max="8" width="4" customWidth="1"/>
  </cols>
  <sheetData>
    <row r="1" spans="1:7" ht="22.5" customHeight="1">
      <c r="A1" s="2"/>
      <c r="B1" s="61" t="s">
        <v>149</v>
      </c>
      <c r="C1" s="61"/>
      <c r="D1" s="61"/>
      <c r="E1" s="61"/>
      <c r="F1" s="61"/>
      <c r="G1" s="61"/>
    </row>
    <row r="2" spans="1:7" ht="26.25" customHeight="1">
      <c r="A2" s="2"/>
      <c r="B2" s="56" t="s">
        <v>47</v>
      </c>
      <c r="C2" s="56"/>
      <c r="D2" s="56"/>
      <c r="E2" s="57"/>
      <c r="F2" s="57"/>
      <c r="G2" s="57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3" t="s">
        <v>11</v>
      </c>
      <c r="C4" s="3" t="s">
        <v>153</v>
      </c>
      <c r="D4" s="51" t="s">
        <v>154</v>
      </c>
      <c r="E4" s="51" t="s">
        <v>155</v>
      </c>
      <c r="F4" s="3" t="s">
        <v>2</v>
      </c>
      <c r="G4" s="2"/>
    </row>
    <row r="5" spans="1:7" ht="19.5" customHeight="1">
      <c r="A5" s="2"/>
      <c r="B5" s="8" t="s">
        <v>156</v>
      </c>
      <c r="C5" s="8"/>
      <c r="D5" s="8"/>
      <c r="E5" s="9"/>
      <c r="F5" s="5">
        <f ca="1">'الايرادات المستحقة'!$E5+(10^-6)*ROW('الايرادات المستحقة'!$E5)</f>
        <v>4.9999999999999996E-6</v>
      </c>
      <c r="G5" s="2"/>
    </row>
    <row r="6" spans="1:7" ht="19.5" customHeight="1">
      <c r="A6" s="2"/>
      <c r="B6" s="10" t="s">
        <v>152</v>
      </c>
      <c r="C6" s="24">
        <v>115783</v>
      </c>
      <c r="D6" s="52">
        <v>18400</v>
      </c>
      <c r="E6" s="52">
        <f ca="1">'الايرادات المستحقة'!$C6-'الايرادات المستحقة'!$D6</f>
        <v>97383</v>
      </c>
      <c r="F6" s="5">
        <f ca="1">'الايرادات المستحقة'!$E6+(10^-6)*ROW('الايرادات المستحقة'!$E6)</f>
        <v>97383.000006000002</v>
      </c>
      <c r="G6" s="2"/>
    </row>
    <row r="7" spans="1:7" ht="19.5" customHeight="1">
      <c r="A7" s="2"/>
      <c r="B7" s="10" t="s">
        <v>83</v>
      </c>
      <c r="C7" s="24">
        <v>1111</v>
      </c>
      <c r="D7" s="24">
        <v>1111</v>
      </c>
      <c r="E7" s="52">
        <f ca="1">'الايرادات المستحقة'!$C7-'الايرادات المستحقة'!$D7</f>
        <v>0</v>
      </c>
      <c r="F7" s="5">
        <f ca="1">'الايرادات المستحقة'!$E7+(10^-6)*ROW('الايرادات المستحقة'!$E7)</f>
        <v>6.9999999999999999E-6</v>
      </c>
      <c r="G7" s="2"/>
    </row>
    <row r="8" spans="1:7" ht="19.5" customHeight="1">
      <c r="A8" s="2"/>
      <c r="B8" s="10" t="s">
        <v>48</v>
      </c>
      <c r="C8" s="24">
        <v>1111</v>
      </c>
      <c r="D8" s="24">
        <v>1111</v>
      </c>
      <c r="E8" s="52">
        <f ca="1">'الايرادات المستحقة'!$C8-'الايرادات المستحقة'!$D8</f>
        <v>0</v>
      </c>
      <c r="F8" s="5">
        <f ca="1">'الايرادات المستحقة'!$E8+(10^-6)*ROW('الايرادات المستحقة'!$E8)</f>
        <v>7.9999999999999996E-6</v>
      </c>
      <c r="G8" s="2"/>
    </row>
    <row r="9" spans="1:7" ht="19.5" customHeight="1">
      <c r="A9" s="2"/>
      <c r="B9" s="10" t="s">
        <v>157</v>
      </c>
      <c r="C9" s="24">
        <v>61111</v>
      </c>
      <c r="D9" s="24">
        <v>40000</v>
      </c>
      <c r="E9" s="52">
        <f ca="1">'الايرادات المستحقة'!$C9-'الايرادات المستحقة'!$D9</f>
        <v>21111</v>
      </c>
      <c r="F9" s="5">
        <f ca="1">'الايرادات المستحقة'!$E9+(10^-6)*ROW('الايرادات المستحقة'!$E9)</f>
        <v>21111.000008999999</v>
      </c>
      <c r="G9" s="2"/>
    </row>
    <row r="10" spans="1:7" ht="19.5" customHeight="1">
      <c r="A10" s="2"/>
      <c r="B10" s="10" t="s">
        <v>158</v>
      </c>
      <c r="C10" s="24">
        <v>401389</v>
      </c>
      <c r="D10" s="24">
        <v>0</v>
      </c>
      <c r="E10" s="52">
        <f ca="1">'الايرادات المستحقة'!$C10-'الايرادات المستحقة'!$D10</f>
        <v>401389</v>
      </c>
      <c r="F10" s="5">
        <f ca="1">'الايرادات المستحقة'!$E10+(10^-6)*ROW('الايرادات المستحقة'!$E10)</f>
        <v>401389.00001000002</v>
      </c>
      <c r="G10" s="2"/>
    </row>
    <row r="11" spans="1:7" ht="19.5" customHeight="1">
      <c r="A11" s="2"/>
      <c r="B11" s="10" t="s">
        <v>159</v>
      </c>
      <c r="C11" s="24">
        <v>350000</v>
      </c>
      <c r="D11" s="24">
        <v>0</v>
      </c>
      <c r="E11" s="52">
        <f ca="1">'الايرادات المستحقة'!$C11-'الايرادات المستحقة'!$D11</f>
        <v>350000</v>
      </c>
      <c r="F11" s="5">
        <f ca="1">'الايرادات المستحقة'!$E11+(10^-6)*ROW('الايرادات المستحقة'!$E11)</f>
        <v>350000.00001100003</v>
      </c>
      <c r="G11" s="2"/>
    </row>
    <row r="12" spans="1:7" ht="19.5" customHeight="1">
      <c r="A12" s="2"/>
      <c r="B12" s="10" t="s">
        <v>160</v>
      </c>
      <c r="C12" s="24">
        <v>161111</v>
      </c>
      <c r="D12" s="24">
        <v>150000</v>
      </c>
      <c r="E12" s="52">
        <f ca="1">'الايرادات المستحقة'!$C12-'الايرادات المستحقة'!$D12</f>
        <v>11111</v>
      </c>
      <c r="F12" s="5">
        <f ca="1">'الايرادات المستحقة'!$E12+(10^-6)*ROW('الايرادات المستحقة'!$E12)</f>
        <v>11111.000012</v>
      </c>
      <c r="G12" s="2"/>
    </row>
    <row r="13" spans="1:7" ht="19.5" customHeight="1">
      <c r="A13" s="2"/>
      <c r="B13" s="10" t="s">
        <v>161</v>
      </c>
      <c r="C13" s="24">
        <v>41667</v>
      </c>
      <c r="D13" s="24">
        <v>41667</v>
      </c>
      <c r="E13" s="52">
        <f ca="1">'الايرادات المستحقة'!$C13-'الايرادات المستحقة'!$D13</f>
        <v>0</v>
      </c>
      <c r="F13" s="5">
        <f ca="1">'الايرادات المستحقة'!$E13+(10^-6)*ROW('الايرادات المستحقة'!$E13)</f>
        <v>1.2999999999999999E-5</v>
      </c>
      <c r="G13" s="2"/>
    </row>
    <row r="14" spans="1:7" ht="19.5" customHeight="1">
      <c r="A14" s="2"/>
      <c r="B14" s="10" t="s">
        <v>162</v>
      </c>
      <c r="C14" s="24">
        <v>1379167</v>
      </c>
      <c r="D14" s="24">
        <v>0</v>
      </c>
      <c r="E14" s="52">
        <f ca="1">'الايرادات المستحقة'!$C14-'الايرادات المستحقة'!$D14</f>
        <v>1379167</v>
      </c>
      <c r="F14" s="5">
        <f ca="1">'الايرادات المستحقة'!$E14+(10^-6)*ROW('الايرادات المستحقة'!$E14)</f>
        <v>1379167.0000140001</v>
      </c>
      <c r="G14" s="2"/>
    </row>
    <row r="15" spans="1:7" ht="19.5" customHeight="1">
      <c r="A15" s="2"/>
      <c r="B15" s="10" t="s">
        <v>163</v>
      </c>
      <c r="C15" s="24">
        <f>4500+9500+16023+7150+43800+6671</f>
        <v>87644</v>
      </c>
      <c r="D15" s="24">
        <f>4300+13000</f>
        <v>17300</v>
      </c>
      <c r="E15" s="52">
        <f ca="1">'الايرادات المستحقة'!$C15-'الايرادات المستحقة'!$D15</f>
        <v>70344</v>
      </c>
      <c r="F15" s="5">
        <f ca="1">'الايرادات المستحقة'!$E15+(10^-6)*ROW('الايرادات المستحقة'!$E15)</f>
        <v>70344.000014999998</v>
      </c>
      <c r="G15" s="2"/>
    </row>
    <row r="16" spans="1:7" ht="19.5" customHeight="1">
      <c r="A16" s="2"/>
      <c r="B16" s="10" t="s">
        <v>164</v>
      </c>
      <c r="C16" s="24">
        <v>8000</v>
      </c>
      <c r="D16" s="24">
        <v>0</v>
      </c>
      <c r="E16" s="52">
        <f ca="1">'الايرادات المستحقة'!$C16-'الايرادات المستحقة'!$D16</f>
        <v>8000</v>
      </c>
      <c r="F16" s="5">
        <f ca="1">'الايرادات المستحقة'!$E16+(10^-6)*ROW('الايرادات المستحقة'!$E16)</f>
        <v>8000.000016</v>
      </c>
      <c r="G16" s="2"/>
    </row>
    <row r="17" spans="1:7" ht="19.5" customHeight="1">
      <c r="A17" s="2"/>
      <c r="B17" s="10" t="s">
        <v>165</v>
      </c>
      <c r="C17" s="24">
        <v>24305</v>
      </c>
      <c r="D17" s="24">
        <v>0</v>
      </c>
      <c r="E17" s="52">
        <f ca="1">'الايرادات المستحقة'!$C17-'الايرادات المستحقة'!$D17</f>
        <v>24305</v>
      </c>
      <c r="F17" s="5">
        <f ca="1">'الايرادات المستحقة'!$E17+(10^-6)*ROW('الايرادات المستحقة'!$E17)</f>
        <v>24305.000016999998</v>
      </c>
      <c r="G17" s="2"/>
    </row>
    <row r="18" spans="1:7" ht="19.5" customHeight="1">
      <c r="A18" s="2"/>
      <c r="B18" s="10" t="s">
        <v>166</v>
      </c>
      <c r="C18" s="24">
        <v>300000</v>
      </c>
      <c r="D18" s="24">
        <v>0</v>
      </c>
      <c r="E18" s="52">
        <f ca="1">'الايرادات المستحقة'!$C18-'الايرادات المستحقة'!$D18</f>
        <v>300000</v>
      </c>
      <c r="F18" s="5">
        <f ca="1">'الايرادات المستحقة'!$E18+(10^-6)*ROW('الايرادات المستحقة'!$E18)</f>
        <v>300000.00001800002</v>
      </c>
      <c r="G18" s="2"/>
    </row>
    <row r="19" spans="1:7" ht="19.5" customHeight="1">
      <c r="A19" s="2"/>
      <c r="B19" s="10" t="s">
        <v>167</v>
      </c>
      <c r="C19" s="24">
        <v>172638</v>
      </c>
      <c r="D19" s="24">
        <v>0</v>
      </c>
      <c r="E19" s="52">
        <f ca="1">'الايرادات المستحقة'!$C19-'الايرادات المستحقة'!$D19</f>
        <v>172638</v>
      </c>
      <c r="F19" s="5">
        <f ca="1">'الايرادات المستحقة'!$E19+(10^-6)*ROW('الايرادات المستحقة'!$E19)</f>
        <v>172638.000019</v>
      </c>
      <c r="G19" s="2"/>
    </row>
    <row r="20" spans="1:7" ht="19.5" customHeight="1">
      <c r="A20" s="2"/>
      <c r="B20" s="10" t="s">
        <v>49</v>
      </c>
      <c r="C20" s="24">
        <v>86583</v>
      </c>
      <c r="D20" s="24">
        <v>86583</v>
      </c>
      <c r="E20" s="52">
        <f ca="1">'الايرادات المستحقة'!$C20-'الايرادات المستحقة'!$D20</f>
        <v>0</v>
      </c>
      <c r="F20" s="5">
        <f ca="1">'الايرادات المستحقة'!$E20+(10^-6)*ROW('الايرادات المستحقة'!$E20)</f>
        <v>1.9999999999999998E-5</v>
      </c>
      <c r="G20" s="2"/>
    </row>
    <row r="21" spans="1:7" ht="19.5" customHeight="1">
      <c r="A21" s="2"/>
      <c r="B21" s="10" t="s">
        <v>168</v>
      </c>
      <c r="C21" s="24">
        <v>4722</v>
      </c>
      <c r="D21" s="24">
        <v>4722</v>
      </c>
      <c r="E21" s="52">
        <f ca="1">'الايرادات المستحقة'!$C21-'الايرادات المستحقة'!$D21</f>
        <v>0</v>
      </c>
      <c r="F21" s="5">
        <f ca="1">'الايرادات المستحقة'!$E21+(10^-6)*ROW('الايرادات المستحقة'!$E21)</f>
        <v>2.0999999999999999E-5</v>
      </c>
      <c r="G21" s="2"/>
    </row>
    <row r="22" spans="1:7" ht="19.5" customHeight="1">
      <c r="A22" s="2"/>
      <c r="B22" s="10" t="s">
        <v>169</v>
      </c>
      <c r="C22" s="24">
        <v>4722</v>
      </c>
      <c r="D22" s="24">
        <v>0</v>
      </c>
      <c r="E22" s="52">
        <f ca="1">'الايرادات المستحقة'!$C22-'الايرادات المستحقة'!$D22</f>
        <v>4722</v>
      </c>
      <c r="F22" s="5">
        <f ca="1">'الايرادات المستحقة'!$E22+(10^-6)*ROW('الايرادات المستحقة'!$E22)</f>
        <v>4722.0000220000002</v>
      </c>
      <c r="G22" s="2"/>
    </row>
    <row r="23" spans="1:7" ht="19.5" customHeight="1">
      <c r="A23" s="2"/>
      <c r="B23" s="10" t="s">
        <v>170</v>
      </c>
      <c r="C23" s="24">
        <v>300000</v>
      </c>
      <c r="D23" s="24">
        <v>0</v>
      </c>
      <c r="E23" s="52">
        <f ca="1">'الايرادات المستحقة'!$C23-'الايرادات المستحقة'!$D23</f>
        <v>300000</v>
      </c>
      <c r="F23" s="5">
        <f ca="1">'الايرادات المستحقة'!$E23+(10^-6)*ROW('الايرادات المستحقة'!$E23)</f>
        <v>300000.000023</v>
      </c>
      <c r="G23" s="2"/>
    </row>
    <row r="24" spans="1:7" ht="19.5" customHeight="1">
      <c r="A24" s="2"/>
      <c r="B24" s="17" t="s">
        <v>171</v>
      </c>
      <c r="C24" s="53">
        <f>8096+10500</f>
        <v>18596</v>
      </c>
      <c r="D24" s="53">
        <v>0</v>
      </c>
      <c r="E24" s="52">
        <f ca="1">'الايرادات المستحقة'!$C24-'الايرادات المستحقة'!$D24</f>
        <v>18596</v>
      </c>
      <c r="F24" s="5">
        <f ca="1">'الايرادات المستحقة'!$E24+(10^-6)*ROW('الايرادات المستحقة'!$E24)</f>
        <v>18596.000024000001</v>
      </c>
      <c r="G24" s="2"/>
    </row>
    <row r="25" spans="1:7" ht="19.5" customHeight="1">
      <c r="A25" s="2"/>
      <c r="B25" s="17" t="s">
        <v>172</v>
      </c>
      <c r="C25" s="53">
        <v>7189758</v>
      </c>
      <c r="D25" s="53">
        <v>91950</v>
      </c>
      <c r="E25" s="52">
        <f ca="1">'الايرادات المستحقة'!$C25-'الايرادات المستحقة'!$D25</f>
        <v>7097808</v>
      </c>
      <c r="F25" s="5">
        <f ca="1">'الايرادات المستحقة'!$E25+(10^-6)*ROW('الايرادات المستحقة'!$E25)</f>
        <v>7097808.0000250004</v>
      </c>
      <c r="G25" s="2"/>
    </row>
    <row r="26" spans="1:7" ht="19.5" customHeight="1" thickBot="1">
      <c r="A26" s="2"/>
      <c r="B26" s="10"/>
      <c r="C26" s="10"/>
      <c r="D26" s="10"/>
      <c r="E26" s="9"/>
      <c r="F26" s="5">
        <f ca="1">'الايرادات المستحقة'!$E26+(10^-6)*ROW('الايرادات المستحقة'!$E26)</f>
        <v>2.5999999999999998E-5</v>
      </c>
      <c r="G26" s="2"/>
    </row>
    <row r="27" spans="1:7" ht="12.75" customHeight="1" thickTop="1" thickBot="1">
      <c r="A27" s="2"/>
      <c r="B27" s="28"/>
      <c r="C27" s="28"/>
      <c r="D27" s="28"/>
      <c r="E27" s="29"/>
      <c r="F27" s="5">
        <f ca="1">'الايرادات المستحقة'!$E27+(10^-6)*ROW('الايرادات المستحقة'!$E27)</f>
        <v>2.6999999999999999E-5</v>
      </c>
      <c r="G27" s="2"/>
    </row>
    <row r="28" spans="1:7" ht="30" customHeight="1" thickTop="1" thickBot="1">
      <c r="A28" s="2"/>
      <c r="B28" s="30" t="s">
        <v>17</v>
      </c>
      <c r="C28" s="54">
        <f>SUBTOTAL(109,C5:C27)</f>
        <v>10709418</v>
      </c>
      <c r="D28" s="54">
        <f>SUBTOTAL(109,D5:D27)</f>
        <v>452844</v>
      </c>
      <c r="E28" s="54">
        <f>SUBTOTAL(109,E5:E27)</f>
        <v>10256574</v>
      </c>
      <c r="F28" s="27"/>
      <c r="G28" s="2"/>
    </row>
    <row r="29" spans="1:7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D4:E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D2"/>
    <dataValidation allowBlank="1" showInputMessage="1" showErrorMessage="1" prompt="يتم تحديث &quot;اسم الشركة&quot; تلقائياً في هذه الخلية" sqref="B1:D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scale="95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26</vt:i4>
      </vt:variant>
    </vt:vector>
  </HeadingPairs>
  <TitlesOfParts>
    <vt:vector size="33" baseType="lpstr">
      <vt:lpstr>الرئيسي </vt:lpstr>
      <vt:lpstr>الايرادات مقابل المصروفات</vt:lpstr>
      <vt:lpstr>ارصدة البنوك</vt:lpstr>
      <vt:lpstr>المصروفات التشغيلية</vt:lpstr>
      <vt:lpstr>مصروفات الاسر</vt:lpstr>
      <vt:lpstr>الايرادات التبرعات</vt:lpstr>
      <vt:lpstr>الايرادات المستحقة</vt:lpstr>
      <vt:lpstr>'ارصدة البنوك'!Print_Area</vt:lpstr>
      <vt:lpstr>'الايرادات التبرعات'!Print_Area</vt:lpstr>
      <vt:lpstr>'الايرادات المستحقة'!Print_Area</vt:lpstr>
      <vt:lpstr>'الايرادات مقابل المصروفات'!Print_Area</vt:lpstr>
      <vt:lpstr>'الرئيسي '!Print_Area</vt:lpstr>
      <vt:lpstr>'المصروفات التشغيلية'!Print_Area</vt:lpstr>
      <vt:lpstr>'مصروفات الاسر'!Print_Area</vt:lpstr>
      <vt:lpstr>'ارصدة البنوك'!Print_Titles</vt:lpstr>
      <vt:lpstr>'الايرادات التبرعات'!Print_Titles</vt:lpstr>
      <vt:lpstr>'الايرادات المستحقة'!Print_Titles</vt:lpstr>
      <vt:lpstr>'الايرادات مقابل المصروفات'!Print_Titles</vt:lpstr>
      <vt:lpstr>'الرئيسي '!Print_Titles</vt:lpstr>
      <vt:lpstr>'المصروفات التشغيلية'!Print_Titles</vt:lpstr>
      <vt:lpstr>'مصروفات الاسر'!Print_Titles</vt:lpstr>
      <vt:lpstr>'الايرادات المستحقة'!الرئيسي</vt:lpstr>
      <vt:lpstr>الرئيسي</vt:lpstr>
      <vt:lpstr>'ارصدة البنوك'!العنوان_4</vt:lpstr>
      <vt:lpstr>'الايرادات التبرعات'!العنوان_4</vt:lpstr>
      <vt:lpstr>'الايرادات المستحقة'!العنوان_4</vt:lpstr>
      <vt:lpstr>'الايرادات مقابل المصروفات'!العنوان_4</vt:lpstr>
      <vt:lpstr>'الرئيسي '!العنوان_4</vt:lpstr>
      <vt:lpstr>'مصروفات الاسر'!العنوان_4</vt:lpstr>
      <vt:lpstr>العنوان_4</vt:lpstr>
      <vt:lpstr>'الايرادات المستحقة'!تاتتالال</vt:lpstr>
      <vt:lpstr>'الرئيسي '!تاتتالال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